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X:\Municipal Support\Sewer Rate Surveys\2019 Sewer Rate Update\"/>
    </mc:Choice>
  </mc:AlternateContent>
  <xr:revisionPtr revIDLastSave="0" documentId="13_ncr:1_{7D9B4EA0-4095-49A7-BFC9-48200890B63A}" xr6:coauthVersionLast="45" xr6:coauthVersionMax="45" xr10:uidLastSave="{00000000-0000-0000-0000-000000000000}"/>
  <bookViews>
    <workbookView xWindow="1170" yWindow="225" windowWidth="26730" windowHeight="15375" xr2:uid="{00000000-000D-0000-FFFF-FFFF00000000}"/>
  </bookViews>
  <sheets>
    <sheet name="ALCOSAN Eastern Basin" sheetId="1" r:id="rId1"/>
    <sheet name="ALCOSAN Northern Basin" sheetId="2" r:id="rId2"/>
    <sheet name="ALCOSAN Southern Basin" sheetId="3" r:id="rId3"/>
  </sheets>
  <definedNames>
    <definedName name="_xlnm.Print_Area" localSheetId="0">'ALCOSAN Eastern Basin'!$A$1:$H$33</definedName>
    <definedName name="_xlnm.Print_Area" localSheetId="1">'ALCOSAN Northern Basin'!$A$1:$H$34</definedName>
    <definedName name="_xlnm.Print_Area" localSheetId="2">'ALCOSAN Southern Basin'!$A$1:$H$43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33" i="1" l="1"/>
  <c r="H32" i="1"/>
  <c r="H31" i="1"/>
  <c r="H28" i="1"/>
  <c r="H27" i="1"/>
  <c r="H26" i="1"/>
  <c r="H24" i="1"/>
  <c r="H22" i="1"/>
  <c r="H17" i="1"/>
  <c r="H15" i="1"/>
  <c r="H14" i="1"/>
  <c r="H11" i="1"/>
  <c r="H10" i="1"/>
  <c r="H9" i="1"/>
  <c r="K9" i="1"/>
  <c r="K10" i="1"/>
  <c r="K11" i="1"/>
  <c r="K12" i="1"/>
  <c r="K13" i="1"/>
  <c r="K14" i="1"/>
  <c r="K15" i="1"/>
  <c r="K16" i="1"/>
  <c r="K17" i="1"/>
  <c r="K18" i="1"/>
  <c r="K19" i="1"/>
  <c r="K20" i="1"/>
  <c r="K21" i="1"/>
  <c r="K22" i="1"/>
  <c r="K23" i="1"/>
  <c r="K24" i="1"/>
  <c r="K25" i="1"/>
  <c r="K26" i="1"/>
  <c r="K27" i="1"/>
  <c r="K28" i="1"/>
  <c r="K29" i="1"/>
  <c r="K30" i="1"/>
  <c r="K31" i="1"/>
  <c r="K32" i="1"/>
  <c r="K33" i="1"/>
  <c r="K8" i="1"/>
  <c r="K9" i="3" l="1"/>
  <c r="K10" i="3"/>
  <c r="K11" i="3"/>
  <c r="K12" i="3"/>
  <c r="K13" i="3"/>
  <c r="K14" i="3"/>
  <c r="K15" i="3"/>
  <c r="K16" i="3"/>
  <c r="K17" i="3"/>
  <c r="K18" i="3"/>
  <c r="K19" i="3"/>
  <c r="K20" i="3"/>
  <c r="K21" i="3"/>
  <c r="K22" i="3"/>
  <c r="K23" i="3"/>
  <c r="K24" i="3"/>
  <c r="K25" i="3"/>
  <c r="K26" i="3"/>
  <c r="K27" i="3"/>
  <c r="K28" i="3"/>
  <c r="K29" i="3"/>
  <c r="K30" i="3"/>
  <c r="K31" i="3"/>
  <c r="K32" i="3"/>
  <c r="K33" i="3"/>
  <c r="K34" i="3"/>
  <c r="K35" i="3"/>
  <c r="K36" i="3"/>
  <c r="K37" i="3"/>
  <c r="K38" i="3"/>
  <c r="K39" i="3"/>
  <c r="K40" i="3"/>
  <c r="K41" i="3"/>
  <c r="K42" i="3"/>
  <c r="K43" i="3"/>
  <c r="H39" i="3"/>
  <c r="H38" i="3"/>
  <c r="H37" i="3"/>
  <c r="H36" i="3"/>
  <c r="H35" i="3"/>
  <c r="H26" i="3" l="1"/>
  <c r="H25" i="3"/>
  <c r="H18" i="3"/>
  <c r="H17" i="3"/>
  <c r="H16" i="3"/>
  <c r="H14" i="3"/>
  <c r="H13" i="3"/>
  <c r="H12" i="3"/>
  <c r="H19" i="2"/>
  <c r="H12" i="2"/>
  <c r="K9" i="2"/>
  <c r="K10" i="2"/>
  <c r="K11" i="2"/>
  <c r="K12" i="2"/>
  <c r="K13" i="2"/>
  <c r="K14" i="2"/>
  <c r="K15" i="2"/>
  <c r="K16" i="2"/>
  <c r="K17" i="2"/>
  <c r="K18" i="2"/>
  <c r="K19" i="2"/>
  <c r="K20" i="2"/>
  <c r="K21" i="2"/>
  <c r="K22" i="2"/>
  <c r="K23" i="2"/>
  <c r="K24" i="2"/>
  <c r="K25" i="2"/>
  <c r="K26" i="2"/>
  <c r="K27" i="2"/>
  <c r="K28" i="2"/>
  <c r="K29" i="2"/>
  <c r="K30" i="2"/>
  <c r="K31" i="2"/>
  <c r="K32" i="2"/>
  <c r="K33" i="2"/>
  <c r="K34" i="2"/>
  <c r="K8" i="2"/>
  <c r="H34" i="2"/>
  <c r="H30" i="2"/>
  <c r="H25" i="2"/>
  <c r="H20" i="2"/>
  <c r="H18" i="2"/>
  <c r="H16" i="2"/>
  <c r="H15" i="2"/>
  <c r="H11" i="2"/>
  <c r="H10" i="2"/>
  <c r="H9" i="2"/>
  <c r="H8" i="2"/>
  <c r="K8" i="3"/>
  <c r="B21" i="3"/>
  <c r="H21" i="3" s="1"/>
  <c r="F43" i="3"/>
  <c r="H43" i="3" s="1"/>
  <c r="F23" i="2"/>
  <c r="D40" i="3"/>
  <c r="B40" i="3"/>
  <c r="H40" i="3" s="1"/>
  <c r="D34" i="3"/>
  <c r="H34" i="3" s="1"/>
  <c r="D17" i="3"/>
  <c r="D13" i="3"/>
  <c r="D9" i="3"/>
  <c r="H9" i="3" s="1"/>
  <c r="D33" i="2"/>
  <c r="D32" i="2"/>
  <c r="H32" i="2" s="1"/>
  <c r="B23" i="2"/>
  <c r="H23" i="2" s="1"/>
  <c r="D21" i="2"/>
  <c r="C21" i="2" l="1"/>
  <c r="H21" i="2" s="1"/>
  <c r="F19" i="1" l="1"/>
  <c r="D19" i="1"/>
  <c r="H19" i="1" s="1"/>
  <c r="D32" i="3"/>
  <c r="C32" i="3"/>
  <c r="H32" i="3" s="1"/>
  <c r="F13" i="2"/>
  <c r="D13" i="2"/>
  <c r="C13" i="2"/>
  <c r="F29" i="3"/>
  <c r="D29" i="3"/>
  <c r="D24" i="2"/>
  <c r="C24" i="2"/>
  <c r="H24" i="2" s="1"/>
  <c r="F28" i="3"/>
  <c r="D28" i="3"/>
  <c r="D20" i="3"/>
  <c r="B20" i="3"/>
  <c r="H20" i="3" s="1"/>
  <c r="D29" i="2"/>
  <c r="H29" i="2" s="1"/>
  <c r="D28" i="2"/>
  <c r="H28" i="2" s="1"/>
  <c r="D14" i="2"/>
  <c r="C14" i="2"/>
  <c r="H14" i="2" s="1"/>
  <c r="H13" i="2" l="1"/>
  <c r="H28" i="3"/>
  <c r="H29" i="3"/>
  <c r="D30" i="1"/>
  <c r="H30" i="1" s="1"/>
  <c r="D11" i="3"/>
  <c r="B11" i="3"/>
  <c r="H11" i="3" s="1"/>
  <c r="D22" i="3" l="1"/>
  <c r="H22" i="3" s="1"/>
  <c r="D29" i="1"/>
  <c r="C29" i="1"/>
  <c r="H29" i="1" s="1"/>
  <c r="D16" i="1"/>
  <c r="H16" i="1" s="1"/>
  <c r="D13" i="1"/>
  <c r="C13" i="1"/>
  <c r="H13" i="1" s="1"/>
  <c r="D8" i="1"/>
  <c r="C8" i="1"/>
  <c r="H8" i="1" s="1"/>
  <c r="F33" i="2"/>
  <c r="H33" i="2" s="1"/>
  <c r="D30" i="3" l="1"/>
  <c r="C30" i="3"/>
  <c r="H30" i="3" s="1"/>
  <c r="D33" i="3"/>
  <c r="C33" i="3"/>
  <c r="H33" i="3" s="1"/>
  <c r="D25" i="1"/>
  <c r="C25" i="1"/>
  <c r="H25" i="1" s="1"/>
  <c r="D18" i="1"/>
  <c r="C31" i="2"/>
  <c r="H31" i="2" s="1"/>
  <c r="D12" i="1" l="1"/>
  <c r="H12" i="1" s="1"/>
  <c r="D20" i="1"/>
  <c r="C20" i="1"/>
  <c r="H20" i="1" s="1"/>
  <c r="D26" i="2"/>
  <c r="C26" i="2"/>
  <c r="D10" i="3"/>
  <c r="B10" i="3"/>
  <c r="H10" i="3" s="1"/>
  <c r="H26" i="2" l="1"/>
  <c r="L23" i="1"/>
  <c r="D23" i="1"/>
  <c r="H23" i="1" s="1"/>
  <c r="L27" i="2"/>
  <c r="D27" i="2"/>
  <c r="H27" i="2" s="1"/>
  <c r="D31" i="3"/>
  <c r="H31" i="3" s="1"/>
  <c r="M23" i="1" l="1"/>
  <c r="M27" i="2"/>
  <c r="H42" i="3"/>
  <c r="D23" i="3"/>
  <c r="B23" i="3"/>
  <c r="D17" i="2"/>
  <c r="D22" i="2"/>
  <c r="C17" i="2"/>
  <c r="H17" i="2" s="1"/>
  <c r="C22" i="2"/>
  <c r="D41" i="3"/>
  <c r="B41" i="3"/>
  <c r="H41" i="3" s="1"/>
  <c r="H22" i="2" l="1"/>
  <c r="H23" i="3"/>
  <c r="B27" i="3"/>
  <c r="D8" i="3" l="1"/>
  <c r="B8" i="3"/>
  <c r="H8" i="3" s="1"/>
  <c r="D27" i="3"/>
  <c r="H27" i="3" s="1"/>
  <c r="B15" i="3" l="1"/>
  <c r="D15" i="3"/>
  <c r="F21" i="1"/>
  <c r="D21" i="1"/>
  <c r="H21" i="1" s="1"/>
  <c r="H15" i="3" l="1"/>
  <c r="L22" i="2"/>
  <c r="L23" i="2"/>
  <c r="L24" i="2"/>
  <c r="L25" i="2"/>
  <c r="L26" i="2"/>
  <c r="L28" i="2"/>
  <c r="L29" i="2"/>
  <c r="L30" i="2"/>
  <c r="L31" i="2"/>
  <c r="L32" i="2"/>
  <c r="L33" i="2"/>
  <c r="L34" i="2"/>
  <c r="L9" i="2"/>
  <c r="L10" i="2"/>
  <c r="L11" i="2"/>
  <c r="L12" i="2"/>
  <c r="L13" i="2"/>
  <c r="L14" i="2"/>
  <c r="L15" i="2"/>
  <c r="L16" i="2"/>
  <c r="L17" i="2"/>
  <c r="L18" i="2"/>
  <c r="L19" i="2"/>
  <c r="L20" i="2"/>
  <c r="L21" i="2"/>
  <c r="L8" i="2"/>
  <c r="L10" i="1"/>
  <c r="L11" i="1"/>
  <c r="L12" i="1"/>
  <c r="L13" i="1"/>
  <c r="L14" i="1"/>
  <c r="L15" i="1"/>
  <c r="L16" i="1"/>
  <c r="L17" i="1"/>
  <c r="L18" i="1"/>
  <c r="L19" i="1"/>
  <c r="L20" i="1"/>
  <c r="L21" i="1"/>
  <c r="L22" i="1"/>
  <c r="L24" i="1"/>
  <c r="M24" i="1" s="1"/>
  <c r="L26" i="1"/>
  <c r="L27" i="1"/>
  <c r="L28" i="1"/>
  <c r="L29" i="1"/>
  <c r="L30" i="1"/>
  <c r="L31" i="1"/>
  <c r="L32" i="1"/>
  <c r="L33" i="1"/>
  <c r="L9" i="1"/>
  <c r="L25" i="1"/>
  <c r="L8" i="1"/>
  <c r="L9" i="3"/>
  <c r="L10" i="3"/>
  <c r="L11" i="3"/>
  <c r="L12" i="3"/>
  <c r="L13" i="3"/>
  <c r="L14" i="3"/>
  <c r="L15" i="3"/>
  <c r="L16" i="3"/>
  <c r="L17" i="3"/>
  <c r="L18" i="3"/>
  <c r="L19" i="3"/>
  <c r="L20" i="3"/>
  <c r="L21" i="3"/>
  <c r="L22" i="3"/>
  <c r="L23" i="3"/>
  <c r="L24" i="3"/>
  <c r="L25" i="3"/>
  <c r="L26" i="3"/>
  <c r="L27" i="3"/>
  <c r="L28" i="3"/>
  <c r="L29" i="3"/>
  <c r="L30" i="3"/>
  <c r="L31" i="3"/>
  <c r="L32" i="3"/>
  <c r="L33" i="3"/>
  <c r="L34" i="3"/>
  <c r="L35" i="3"/>
  <c r="L8" i="3"/>
  <c r="L37" i="3"/>
  <c r="L38" i="3"/>
  <c r="L39" i="3"/>
  <c r="L40" i="3"/>
  <c r="L41" i="3"/>
  <c r="L42" i="3"/>
  <c r="L43" i="3"/>
  <c r="D19" i="3" l="1"/>
  <c r="H19" i="3" s="1"/>
  <c r="H18" i="1" l="1"/>
  <c r="M14" i="1" l="1"/>
  <c r="D24" i="3"/>
  <c r="H24" i="3" s="1"/>
  <c r="M32" i="3" l="1"/>
  <c r="L36" i="3" l="1"/>
  <c r="M29" i="3"/>
  <c r="M33" i="2"/>
  <c r="M31" i="2"/>
  <c r="M30" i="2"/>
  <c r="M29" i="2"/>
  <c r="M28" i="2"/>
  <c r="M26" i="2"/>
  <c r="M23" i="2"/>
  <c r="M18" i="2"/>
  <c r="M16" i="2"/>
  <c r="M15" i="2"/>
  <c r="M14" i="2"/>
  <c r="M13" i="2"/>
  <c r="M10" i="2"/>
  <c r="M27" i="1"/>
  <c r="M25" i="1"/>
  <c r="M20" i="1"/>
  <c r="M19" i="1"/>
  <c r="M16" i="1"/>
  <c r="M15" i="1"/>
  <c r="M13" i="1"/>
  <c r="M12" i="1"/>
  <c r="M17" i="2" l="1"/>
  <c r="M10" i="3"/>
  <c r="M22" i="2"/>
  <c r="M19" i="2"/>
  <c r="M20" i="2"/>
  <c r="M21" i="2"/>
  <c r="M24" i="2"/>
  <c r="M25" i="2"/>
  <c r="M34" i="2"/>
  <c r="M9" i="2"/>
  <c r="M11" i="2"/>
  <c r="M12" i="2"/>
  <c r="M21" i="1"/>
  <c r="M22" i="1"/>
  <c r="M18" i="1"/>
  <c r="M9" i="1"/>
  <c r="M10" i="1"/>
  <c r="M11" i="1"/>
  <c r="M17" i="1"/>
  <c r="M26" i="1"/>
  <c r="M28" i="1"/>
  <c r="M29" i="1"/>
  <c r="M30" i="1"/>
  <c r="M31" i="1"/>
  <c r="M32" i="1"/>
  <c r="M33" i="1"/>
  <c r="M8" i="1"/>
  <c r="M16" i="3"/>
  <c r="M17" i="3"/>
  <c r="M18" i="3"/>
  <c r="M19" i="3"/>
  <c r="M20" i="3"/>
  <c r="M21" i="3"/>
  <c r="M22" i="3"/>
  <c r="M23" i="3"/>
  <c r="M24" i="3"/>
  <c r="M25" i="3"/>
  <c r="M26" i="3"/>
  <c r="M27" i="3"/>
  <c r="M28" i="3"/>
  <c r="M30" i="3"/>
  <c r="M31" i="3"/>
  <c r="M33" i="3"/>
  <c r="M34" i="3"/>
  <c r="M35" i="3"/>
  <c r="M36" i="3"/>
  <c r="M37" i="3"/>
  <c r="M38" i="3"/>
  <c r="M39" i="3"/>
  <c r="M40" i="3"/>
  <c r="M41" i="3"/>
  <c r="M42" i="3"/>
  <c r="M43" i="3"/>
  <c r="M8" i="3"/>
  <c r="M9" i="3"/>
  <c r="M11" i="3"/>
  <c r="M12" i="3"/>
  <c r="M13" i="3"/>
  <c r="M14" i="3"/>
  <c r="M15" i="3"/>
  <c r="M32" i="2"/>
  <c r="M8" i="2"/>
</calcChain>
</file>

<file path=xl/sharedStrings.xml><?xml version="1.0" encoding="utf-8"?>
<sst xmlns="http://schemas.openxmlformats.org/spreadsheetml/2006/main" count="297" uniqueCount="211">
  <si>
    <t>Eastern Basin</t>
  </si>
  <si>
    <t xml:space="preserve">    Service Charge</t>
  </si>
  <si>
    <t>Tier 1*</t>
  </si>
  <si>
    <t>ALCOSAN Charge</t>
  </si>
  <si>
    <t>Monthly</t>
  </si>
  <si>
    <t>Quarterly</t>
  </si>
  <si>
    <t>Rate</t>
  </si>
  <si>
    <t>Gallons</t>
  </si>
  <si>
    <t>from</t>
  </si>
  <si>
    <t>Service Fee</t>
  </si>
  <si>
    <t xml:space="preserve"> </t>
  </si>
  <si>
    <t>Pittsburgh</t>
  </si>
  <si>
    <t>NOTES:</t>
  </si>
  <si>
    <t>Northern Basin</t>
  </si>
  <si>
    <t>Sharpsburg</t>
  </si>
  <si>
    <t>Southern Basin</t>
  </si>
  <si>
    <t>South Fayette</t>
  </si>
  <si>
    <t>Oakdale</t>
  </si>
  <si>
    <t>Upper St. Clair</t>
  </si>
  <si>
    <t>Kennedy</t>
  </si>
  <si>
    <t>Wall</t>
  </si>
  <si>
    <t>Whitehall</t>
  </si>
  <si>
    <t>Ohio Twp. Sanitary Auth.</t>
  </si>
  <si>
    <t xml:space="preserve">Etna </t>
  </si>
  <si>
    <t>Castle Shannon</t>
  </si>
  <si>
    <t>Verona</t>
  </si>
  <si>
    <t xml:space="preserve">Indiana - Ottawa </t>
  </si>
  <si>
    <t xml:space="preserve">Indiana - Fairview </t>
  </si>
  <si>
    <t xml:space="preserve">Reserve </t>
  </si>
  <si>
    <t>Reserve - Girtys Run Cust.</t>
  </si>
  <si>
    <t xml:space="preserve">McCandless </t>
  </si>
  <si>
    <t>Base</t>
  </si>
  <si>
    <t>O'Hara</t>
  </si>
  <si>
    <t>Braddock</t>
  </si>
  <si>
    <t>East Pittsburgh</t>
  </si>
  <si>
    <t>Penn Hills</t>
  </si>
  <si>
    <t>Plum**</t>
  </si>
  <si>
    <t>Rankin</t>
  </si>
  <si>
    <t>** For Plum Borough, rates are based on cubic feet…..these values converted to gallons for this comparison.</t>
  </si>
  <si>
    <t>Wilkinsburg</t>
  </si>
  <si>
    <t xml:space="preserve">Aspinwall </t>
  </si>
  <si>
    <t xml:space="preserve">Blawnox </t>
  </si>
  <si>
    <t xml:space="preserve">Scott </t>
  </si>
  <si>
    <t xml:space="preserve">Quarterly ALCOSAN </t>
  </si>
  <si>
    <t>ALCOSAN Base Rate</t>
  </si>
  <si>
    <t>Per 1,000 gallons</t>
  </si>
  <si>
    <t>Municipality/ Authority</t>
  </si>
  <si>
    <t>Municipality/ 
Authority</t>
  </si>
  <si>
    <t xml:space="preserve">        Service Charge</t>
  </si>
  <si>
    <t>Total Charge</t>
  </si>
  <si>
    <t>Total municipal Charge/Quarter</t>
  </si>
  <si>
    <t>Total ALCOSAN Charge/Quarter</t>
  </si>
  <si>
    <t>(Municipal + ALCOSAN)</t>
  </si>
  <si>
    <t xml:space="preserve">* Tiered rates are $/1,000 gallons starting at the gallon level listed. Ex: If the tier says $1.18 at 3,001, that means the rate is $1.18 for every 1,000 gallons over 3,000. </t>
  </si>
  <si>
    <r>
      <rPr>
        <b/>
        <sz val="11"/>
        <rFont val="Calibri"/>
        <family val="2"/>
        <scheme val="minor"/>
      </rPr>
      <t>NOTE:</t>
    </r>
    <r>
      <rPr>
        <sz val="11"/>
        <rFont val="Calibri"/>
        <family val="2"/>
        <scheme val="minor"/>
      </rPr>
      <t xml:space="preserve"> All rates are given in $/1,000 gallons</t>
    </r>
  </si>
  <si>
    <r>
      <rPr>
        <b/>
        <sz val="11"/>
        <rFont val="Calibri"/>
        <family val="2"/>
        <scheme val="minor"/>
      </rPr>
      <t>NOTE</t>
    </r>
    <r>
      <rPr>
        <sz val="11"/>
        <rFont val="Calibri"/>
        <family val="2"/>
        <scheme val="minor"/>
      </rPr>
      <t>: All rates are given in $/1,000 gallons</t>
    </r>
  </si>
  <si>
    <t xml:space="preserve">Per Jerry Brown survey response. reduced monthly service fee from $6.80 to $6.44 (decrease of 5.3%) and increased rate per 1,000/gal from $3.34 to $3.56 (increase of 3.8%).   </t>
  </si>
  <si>
    <t>2019 Residential Rate Comparison</t>
  </si>
  <si>
    <t xml:space="preserve">Total Quarterly Charge (Municipal + ALCOSAN)
</t>
  </si>
  <si>
    <t>Collier^</t>
  </si>
  <si>
    <t xml:space="preserve">Munhall^ </t>
  </si>
  <si>
    <t>Baldwin Borough^</t>
  </si>
  <si>
    <t>Notes</t>
  </si>
  <si>
    <t>Survey from Jackie Coles, $16.00/Mo. Scvs charge &amp; $11.50/KG.  Phone call clarified that it includes ALCOSAN fees.  No overall increase so Munhall absorbed ALCOSAN's increase.</t>
  </si>
  <si>
    <t xml:space="preserve">Survey from Marinda Henze. $17/mo. scvs. Charge and 8.58/1,000 gal.  Includes ALCOSAN fee.  No overall rate increase this year so West Mifflin absorbed ALCOSAN's increase. </t>
  </si>
  <si>
    <t>West Mifflin^</t>
  </si>
  <si>
    <t>As per survey from Lori Thompson and Pattie Asturi (Feb 2019)  Overall rates did not increase. $12.65/kg, $6.20 monthly s.c.  Phone call with Lori Thompson clarified that it includes ALCOSAN fees. Collier absorbed ALCOSAN's increase.</t>
  </si>
  <si>
    <t xml:space="preserve">As per survey from Lori Collins(Feb 2019).  Municipal rate of 6.23/1,000 gal did not increase. Overall rates only increased by ALCOSAN's new charges. </t>
  </si>
  <si>
    <t>As per survey from Dave Montz (Feb 2019)  Overall rates only increased by ALCOSAN's increase. Municipal rate of $5.00/1,000 did not increase. Phone call with Dave clarified this.</t>
  </si>
  <si>
    <t>Franklin Park</t>
  </si>
  <si>
    <t>As per Survey completed by Chad Alviani, the residential rate increased by 4% to $7.40/1,000 (includes $7.94 ALCOSAN rate) Service fee $21.25 quarterly also includes ALCOSAN's $16.69 fee.  MTSA absorbs the loss for those homes that go to ALCOSAN. The other homes are serviced by MTSA treatment plant.   A phone call 3/12/19 with Chad confirmed these details.</t>
  </si>
  <si>
    <t>Survey from Gloria Stroop (Feb. 2019) $24.7/SC; $10.50/MG incls. ALCOSAN rates.  Municipal rate did not increase from 2018.  No overall increase so McDonald absorbed ALCOSAN's increase.</t>
  </si>
  <si>
    <t>McDonald^</t>
  </si>
  <si>
    <t>Per survey from Steve Morus (Feb. 2019), the municipal sewer rates of $4.75/1,000 gal did not increase.  The overall total bill only increased by ALCOSAN's increase of $7.85</t>
  </si>
  <si>
    <t>Per survey from Stephanie Schwoegel (Feb. 2019), the municipal sewer rates of $4.50/1,000 gal did not increase.  The overall total bill only increased by ALCOSAN's increase of $7.85.  (Billing done by WPJWA)</t>
  </si>
  <si>
    <t>Survey from Rob Zahorchak; Same rate as 2018 $4.70/1,000.  Does not include ALCOSAN rates.  The overall total bill only increased by ALCOSAN's increase of $7.85</t>
  </si>
  <si>
    <t>Survey completed by Julie Quigley.  Base rate is $8.28 for the first 1,000 gallons and $7.43/1,000 thereafter.  According to PWSA, rates increased 7.2% from 2018).) ALCOSAN rates are separate from PWSA rates. The first rate of $8.28 for the first thousand was multiplied by three for the quarterly bill as PWSA bills monthly.</t>
  </si>
  <si>
    <t>Survey completed by Janice Adamski (Feb. 2019). $5.56 flat fee  and $8.62/1,000. No change in Heidelberg's rates from 2018.  ALCOSAN rates are NOT included in these rates.  (Confirmed in a phone call with Janice on 3/13/19).  The only increase in the overall rate is ALCOSAN's rates. (Jordan tax service does their billing.)</t>
  </si>
  <si>
    <t xml:space="preserve">Survey completed by Teresa Windstein (Feb. 2019).  Mt. Lebanon rate $4.05/1,000 and no flat service feel.  The total overall sewer fee only increased by the ALCOSAN increase ($7.85) </t>
  </si>
  <si>
    <t>Bethel Park^</t>
  </si>
  <si>
    <t xml:space="preserve">Survey completed by Stacey Graf.  $15 monthly service charge and $9/1,000 includes all ALCOSAN charges. Stacey provided details in the notes that confirms this.  Bethel Park absorbed ALCOSAN's increase so there is no overall increase in the total sewer rates from 2018. </t>
  </si>
  <si>
    <t xml:space="preserve">Survey completed by Marsha Grom (Feb. 2019). Ohio Twp flat service fee of $60.76 stayed the same from 2018, but usage rate increased by 7% to $10.05/1,000 gal.  They bill quarterly. These fees includes ALCOSAN rates.  </t>
  </si>
  <si>
    <t>Survey completed by Sue Brown (Feb. 2019). Billing is every two months: $17.82 service charge; $4.07/1,000.  Etna's rates increased by 7% along with ALCOSAN's rate increase.  This rate structure does not include ALCOSAN fees.</t>
  </si>
  <si>
    <t>Survey completed by Tom O'Grady (Feb. 2019). Penn Hills rates increased  proportional to ALCOSAN's rate increase. $30 service fee/quarterly and $19.37/1,000.  Both include ALCOSAN's fees.</t>
  </si>
  <si>
    <t>Survey completed by RJ Susko (Feb. 2019).  Crafton rates have remained the same as 2018.  Bill monthly. $2.25 monthly service fee and $8.40/1,000 gal.  This rate does not include ALCOSAN's rates so the overall sewer rate has only increased by ALCOSAN's rate increase.</t>
  </si>
  <si>
    <t>Survey completed  Doug Sample (March 2019). Rates stayed the same.  Only the ALCOSAN increase.</t>
  </si>
  <si>
    <t xml:space="preserve">Ross^ </t>
  </si>
  <si>
    <t>Shaler^</t>
  </si>
  <si>
    <t xml:space="preserve">Survey completed by Judith Kording (March 2019). $6.32 flat service charge every two months. No rate increase other than ALCOSAN. </t>
  </si>
  <si>
    <t>North Huntingdon^</t>
  </si>
  <si>
    <t>North Versailles^</t>
  </si>
  <si>
    <t xml:space="preserve">Shane Lanham completed the survey.  They bill monthly through WPJWA. He indicated no increase in sewage rates but they charge 30% of the total ALCOSAN sewage charge so while the percentage did not increase, the total sewer bill did due to ALCOSAN's increase. </t>
  </si>
  <si>
    <t>Survey completed by Tom Hartswick (March 2019).  He indicated their rates increased by 7% to match ALCOSAN's increase, but the 2018 sewer rates reported by Tom were $6.60/1,000 gal.  2019 rate of $7.28/1,000 gal represents a 10% increase.  Perhaps the 2018 rates increased mid-year after we published the sewer rate study.</t>
  </si>
  <si>
    <t xml:space="preserve">Survey completed by Darrin Niemeyer (March 2019).  Rates did not increase overall so they absorbed ALCOSAN's increase.  Their rates were clarified by phone . Darrin indicated that both their quarterly flat service fee of $23.73 and their usage fee of $7.24/1,000 gallons included ALCOSAN's rates, which means they take a loss on their usage fee. </t>
  </si>
  <si>
    <t xml:space="preserve">Robinson^ </t>
  </si>
  <si>
    <t>Survey completed by Mark Romito (March 2019) Multiplier set at 2.00 times ALCOSAN rates….monthly service charge $5.56 &amp; $7.94/1,000 gallons.  Overall the muncipal portion of the bill increased by 1.9% according to Mark.</t>
  </si>
  <si>
    <t>Churchill^</t>
  </si>
  <si>
    <t>Survey completed by Mary Kay Fiore (March 2019). Churchill only charges a usage rate of $6.00/1,000 gallons plus ALCOSAN fees.  No increase for 2019.  Bill monthly.</t>
  </si>
  <si>
    <t xml:space="preserve">Swissvale^ </t>
  </si>
  <si>
    <t>Survey completed by Diane Turley (March 2019).  They only charge $3.50/1,000 gallons plus ALCOSAN fees.  The municipal portion of the bill did not increase; only the ALCOSAN portion.</t>
  </si>
  <si>
    <t>Survey completed by Denise Fitzgerald (March 2019).  Municipal rate increased 50% from $1.50/1,000 gal to $3.00/1,000 gal in 2019 plus ALCOSAN rates.</t>
  </si>
  <si>
    <t>Thornburg</t>
  </si>
  <si>
    <t>Survey completed by Dorothy Falk (March 2019).  ALCOSAN bills customers directly.  Thornburg does not charge an additional municipal fee.</t>
  </si>
  <si>
    <t>Survey completed by Lorraine Makatura (March 2019).  Avalon has not increased its rates since they began implementing a municipal fee in 2005.</t>
  </si>
  <si>
    <t>Survey completed by Enoch Jenkins (March 2019).  $36.00 service charge and $7.15/1,000 gallons.  These include ALCOSAN rates.  Peters has only a few ALCOSAN customers so they absorb the cost of the additional ALCOSAN rates for those customers.</t>
  </si>
  <si>
    <t>3/7/19: Phone call with Cheryl Sorrentino Borough Secretary.  ALCOSAN rates are listed separately on the bill.  The overall total bill only increased by ALCOSAN's increase. (Billing done by WPJWA)</t>
  </si>
  <si>
    <t>Chalfant^</t>
  </si>
  <si>
    <t>Edgewood^</t>
  </si>
  <si>
    <t>Survey completed by  Rebecca Vargo, but it only included ALCOSAN charges.  Called WPJWA who does their billing and confirmed that the rate is the same as 2018. $5 for the first 1,000 gallons and $2.50/1,000 after that plus ALCOSAN</t>
  </si>
  <si>
    <t>Wilkins^</t>
  </si>
  <si>
    <t>Survey completed by Deborah Brown (March 2019). They charge 35% of ALCOSAN's fees as their municipal fee.</t>
  </si>
  <si>
    <t xml:space="preserve">Billed by WPJWA.  Called WPJWA to confirm the rates. (April 2019) East Pittsburgh local rates are 50% of ALCOSAN charges. </t>
  </si>
  <si>
    <t>North Braddock^</t>
  </si>
  <si>
    <t>Pitcairn^</t>
  </si>
  <si>
    <t>Braddock Hills^</t>
  </si>
  <si>
    <t>Forest Hills^</t>
  </si>
  <si>
    <t>WPJWA does the billing;  Called WPJWA to confirm the rates. (April 2019) $5.75/1,000 gallons.  No municipal rate increase.</t>
  </si>
  <si>
    <t xml:space="preserve">Survey from Stan Caroline $90.01/3KG; $8.75/KG over 3KG. Quarterly. Phone call clarified that it Includes ALCOSAN fees. They said their rate increased by 1.74% </t>
  </si>
  <si>
    <t xml:space="preserve">WPJWA does the billing;  Called WPJWA to confirm the rates. (April 2019) $4.50/1,000 gallons and .83334/mo service charge. </t>
  </si>
  <si>
    <t>Survey completed by Julie Pantalone (March 2019) but she only included the ALCOSAN fees. WPJWA does the billing;  Called WPJWA to confirm the rates.  They remain $2.50/1,000 gallons; the same as 2018.</t>
  </si>
  <si>
    <t>Turtle Creek^</t>
  </si>
  <si>
    <t>WPJWA does the billing;  Called WPJWA to confirm the rates. (April 2019) $1.75/1,000 gallons.  The municipal rate increased a quarter from 1.50/1,000 in 2018.</t>
  </si>
  <si>
    <t>Wilmerding^</t>
  </si>
  <si>
    <t>WPJWA does the billing;  Called WPJWA to confirm the rates. (April 2019) $3.00/1,000 gallons.  The municipal rate stayed the same as 2018.</t>
  </si>
  <si>
    <t>Survey completed by Michele Garvey (April 2019).  Rates did not change from 2018.  Bill monthly.  $3.99/1,000 gallons and $13.15/monthly service charge.</t>
  </si>
  <si>
    <t>West View^</t>
  </si>
  <si>
    <t>Mt. Oliver^</t>
  </si>
  <si>
    <t>Survey completed by Rick Hopkinson. (March 2019).  No rate change from 2018.  Remains $7.12/thousand plus all ALCOSAN charges.</t>
  </si>
  <si>
    <t>Monroeville^</t>
  </si>
  <si>
    <t>2019 rate data was obtained from a news page on the Monroeville Authority website.  https://www.monroevillewater.org/csa/2019-water-and-sewer-rates  Rates remain at $12.75/1,000 gal which incl. ALCOSAN's usage fee of $7.94.</t>
  </si>
  <si>
    <t>Trafford^</t>
  </si>
  <si>
    <t xml:space="preserve">Obtained 2019 rate information from Trafford website http://www.traffordborough.com/sewage-dept  Rates remained the same as 2018. $18 quarterly service charge and $6.00/1,00 gallons with a minimum charge of $36 for 6,000 gallons. </t>
  </si>
  <si>
    <t>2019 rate data was obtained from the website of the Oakmont Water Authority, who does Verona's sewage billing website. http://www.oakmontwater.com/rates.html 
Rates are $11/1,000 gal and quarterly service charge of $22.  A phone call (April 2019) with Jerry Kenna confirmed that ALCOSAN rates are included in those fees.</t>
  </si>
  <si>
    <t xml:space="preserve">Phone call with Rob Borczyk (April 2019) confirmed there is no increase in municipal sewer rates from 2018.  They remain $2.00 quarterly service charge and $2.50/1,000 gallon usage. </t>
  </si>
  <si>
    <t>Bellevue^</t>
  </si>
  <si>
    <t xml:space="preserve">Data on 2019 sewer rates obtained online. (April 2019) http://www.kennedytwp.com/sewer-department/  Increased from $9.10/1,000 in 2018 to $9.75/1,000.  Includes ALCOSAN fees.  </t>
  </si>
  <si>
    <t>2019 sewer rates obtained from Fox Chapel Water Authority website. http://www.foxchapelwater.com/rates-and-fees/ (April 2019)</t>
  </si>
  <si>
    <t>Fox Chapel^</t>
  </si>
  <si>
    <t>Shaler - Girty's Run Area^</t>
  </si>
  <si>
    <t>Survey completed by Caitlin Hornyak. (March 2019): Email clarified that ALCOSAN rates were included in the $11.52/1,000 rate and 6.75 flat charge.  Overall rates did not increase so Baldwin absorbed ALCOSAN's increase.</t>
  </si>
  <si>
    <t>Survey completed by George Zboyovsky (March 2019).  April 10: talked with Karen in the sewage department to clarify some of the survey responses.  Brentwood only increased their bills by the amount of ALCOSAN's increase so the municipal rate stayed the same. Monthly service charge of $10.13 plus $16.85/1,000 gallons includes all ALCOSAN charges</t>
  </si>
  <si>
    <t>Brentwood^</t>
  </si>
  <si>
    <t xml:space="preserve">Per survey from Connie Rosenbayger (March 2019).  ALCOSAN rates are included just as they were last year. East McKeesport only increased their rates by 2.5% (to $79.60/8,000 min usage) so they absorb some of the increase from ALCOSAN. (The 2019 overall sewage bill decreased by $1 because of it.) 4/10/19: Phone call with Connie clarified that we calculated this properly. </t>
  </si>
  <si>
    <t xml:space="preserve">Spoke by phone with Dawn (April 2019).  Aspinwall's rates increased in mid-2018 after our rate study was published last year. 44% increase from $1.73/1,000 to $2.50/1,000 gallons.  ALCOSAN bills Aspinall customers directly through a separate bill. Aspinwall bills for sewage via their water bill.  Overall rate is $9.98/1,000 with $2.50 going toward sewage.
</t>
  </si>
  <si>
    <t xml:space="preserve">Spoke with Terrie Patsch (April 2019) ALCOSAN bills Ben Avon customers directly; Terrie suggested speaking with Ben Avon's Finance Director Ken Opippery who confirmed that  Ben Avon does not have any municipal sewage charge. </t>
  </si>
  <si>
    <t>Ben Avon Heights^</t>
  </si>
  <si>
    <t xml:space="preserve">Emsworth^ </t>
  </si>
  <si>
    <t>Spoke with Cathy/Kathy at Emsworth in the sewage office. (April 2019).  Bill quarterly. Their rates include ALCOSAN's. They did not increase the municipal rate from 2018.  Only ALCOSAN's rate went up. $18.69/service charge and $13.29/1,000 gallons</t>
  </si>
  <si>
    <t xml:space="preserve">Indiana - Middle Rd. I &amp; II  </t>
  </si>
  <si>
    <t>Survey completed by Candy Wygonik in Finance.  Indiana has several billing districts with different service charges and billing cycles, but they all charge $2.25/1,000.  Municipal rates increased by 2.86% plus ALCOSAN's rate increase. All info was clarified with a phone call (April 2019).  Ottawa's service charge is $75 quarterly.</t>
  </si>
  <si>
    <t>Survey completed by Candy Wygonik.  Indiana has several billing districts with different service charges and billing cycles, but they all charge $2.25/1,000.  Municipal rates increased by 2.86% plus ALCOSAN's rate increase. All info was clarified with a phone call (April 2019).  Fairview's service charge is $50/quarterly.</t>
  </si>
  <si>
    <t xml:space="preserve">Survey completed by Candy Wygonik.  Indiana has several billing districts with different service charges and billing cycles, but they all charge $2.25/1,000.  Municipal rates increased by 2.86% plus ALCOSAN's rate increase. All info was clarified with a phone call (April 2019).  Last year we had a Middle Rd Ext. district and Middle Rd I &amp; II district but the rates are the same for all of Middle Road so we combined the districts.  There is one exception.  About 30 customers in District I now incur a monthly service fee of $15 for a new pump station.  Didn't represent the whole district so it is not included. </t>
  </si>
  <si>
    <t>MTSA manages billing for Franklin Park. Chad Alviana confirmed by phone 3/12/19 that all of Franklin Park has the same rates as McCandless.  This represents a 35% Decrease from 2018 for the Bear Run area of Franklin Park and a 23% Decrease for the Lowries Run area of Franklin Park.</t>
  </si>
  <si>
    <t xml:space="preserve">Phone call with Kim at Reserve (April 2019)  $10.08/kg including ALCOSAN rate.  No service charge. About a 7% increase in municipal charge from $2.00 to $2.14/1,000 gallons. </t>
  </si>
  <si>
    <t xml:space="preserve">Phone call with Kim at Reserve (April 2019)  $12.58/kg including ALCOSAN rate and also includes a $2.50/1,000 gallon charge that goes to Girty's Run.  There was no where to include Girty's Run piece on the chart, so it is just wrapped into the $4.64 municipal charge. (In reality, the municipality only gets $2.14/1,000 gallons)  $2.00 quarterly service charge. Similarly, this rate increased 7% from $2.00 to $2.14. </t>
  </si>
  <si>
    <t xml:space="preserve">Phone call with Lauren Zang, Borough Manager (April 2019) confirmed that Homestead rates remained the same even though ALCOSAN charges increased.  Homestead just absorbs the increase. $9.27 monthly service charge and $10.87/1,000 gallons both of which include ALCOSAN fees. </t>
  </si>
  <si>
    <t>Ingram^</t>
  </si>
  <si>
    <t>North Fayette^</t>
  </si>
  <si>
    <t>McKees Rocks^</t>
  </si>
  <si>
    <t>Phone call with McKees Rocks.  Recommended I call Berkheimer, their billing agent (866-309-6939).  They were helpful but only had 2018 rates of $1/quarterly service charge and $4.32/1,000 gallons. ALCOSAN is broken out on the quarterly bills.  A call back to McKees Rocks confirmed that 2019 municipal rates are the same.</t>
  </si>
  <si>
    <t xml:space="preserve">Neville^ </t>
  </si>
  <si>
    <t>Voicemal from Jeanne Creese (4/11/19) confirmed that there has been no rate change for 2019. $17.30/1,000 includes ALCOSAN charge of $7.94/1,000. 10.61 quarterly service fee.  Muni absorbs difference from ALCOSAN 16.69 charge.  Therefore, residents see no difference in their overall sewer bill from  2018.</t>
  </si>
  <si>
    <t xml:space="preserve">Person who answered the phone said rates stayed at $67.50 per 9,000 and 7.50/1,000 after that. Dave Lodovico, finance director, 4/15/19 confirmed this includes ALCOSAN rates and expressed his frustration.  He said the township was supposed to raise its rates in 2016 and 2018 but never did.  He also said that residents north of Steubenville Pike have their sewage treated by the Moon treatment plant so once the rates are blended, overall, NF is taking about a $16 hit on each person instead of $22 because the Moon treatment rates aren't nearly as high as ALCOSAN's.  </t>
  </si>
  <si>
    <t>Confirmed rates with Kathy by phone (4/15/19). They bill a $45 sewer line surcharge quarterly which does not include any ALCOSAN fees.  Then they bill $26.69 quarter for the first 1,000 gallons which does include ALCOSAN $16.69 fee and $7.94/1,000 leaving $2.06 to represent the municipal per 1,000 gallon cost.  After the first 1,000, the fee is $10/1,000, but includes alcosan so again it is $2.06 municipal fee.  Even though the rate stays the same for the first 1,000 and everything after it, we included the calculations to show how Blawnox actually bills their customers. (ALCOSAN is not broken out on their bill.)</t>
  </si>
  <si>
    <r>
      <t xml:space="preserve">Talked with Debbie in the Admin office (4/11/19).  Nicholas Martini is the new manager.  Hasn't responded to the survey. </t>
    </r>
    <r>
      <rPr>
        <b/>
        <sz val="9"/>
        <rFont val="Calibri"/>
        <family val="2"/>
        <scheme val="minor"/>
      </rPr>
      <t xml:space="preserve"> </t>
    </r>
    <r>
      <rPr>
        <sz val="9"/>
        <rFont val="Calibri"/>
        <family val="2"/>
        <scheme val="minor"/>
      </rPr>
      <t xml:space="preserve">Debbie requested an email to her with the rate request and she will try to obtain the info. Sent an email request to Debbie on 4/11.(Followed up with a phone call on 4/16/19: Debbie has been unable to find the 2019 sewage rate information.  Nicholas doesn't know either. She checked her own personal bill from the last quarter of 2018 and it breaks out ALCOSAN costs and $4.50/1,000 for the municipal portion.  We are going to keep these rates for 2019 until we can confirm that they may be different.  </t>
    </r>
  </si>
  <si>
    <t xml:space="preserve">Confirmed by phone with Valentina Lachimia (April 2019),  that Wall increased its base minimum rate from $119.61  to $125.90 for the first 10,000 gallons of use to cover the cost of ALCOSAN's increase. This base rate includes all ALCOSAN charges.  For  usage above 10,000 gallons per quarter, the additional charge is $1.50/1 KG.  Alcosan rates are not listed separately on the bill.
</t>
  </si>
  <si>
    <r>
      <t xml:space="preserve">Survey completed by Mike Branthoover. No overall increase from 2018 rates.  The total charge is $156.90 flat rate </t>
    </r>
    <r>
      <rPr>
        <b/>
        <sz val="9"/>
        <rFont val="Calibri"/>
        <family val="2"/>
        <scheme val="minor"/>
      </rPr>
      <t>regardless of usage</t>
    </r>
    <r>
      <rPr>
        <sz val="9"/>
        <rFont val="Calibri"/>
        <family val="2"/>
        <scheme val="minor"/>
      </rPr>
      <t xml:space="preserve"> so the community is absorbing ALCOSAN's increase.   Removing ALCOSAN's charges from the total leaves a $36.99 flat municipal rate.</t>
    </r>
  </si>
  <si>
    <t>Bridgeville^</t>
  </si>
  <si>
    <t>Crafton^</t>
  </si>
  <si>
    <t>Green Tree^</t>
  </si>
  <si>
    <t>Heidelberg^</t>
  </si>
  <si>
    <t>Homestead^</t>
  </si>
  <si>
    <t>Mt. Lebanon^</t>
  </si>
  <si>
    <t>Peters Township^</t>
  </si>
  <si>
    <t>Whitaker^</t>
  </si>
  <si>
    <t>East McKeesport^</t>
  </si>
  <si>
    <t>Penn Township^</t>
  </si>
  <si>
    <t>Avalon^</t>
  </si>
  <si>
    <t>Ben Avon^</t>
  </si>
  <si>
    <t>Pleasant Hills^</t>
  </si>
  <si>
    <t xml:space="preserve">ALCOSAN provides minimal service (like 6 homes), they have their own treatment plant.  4/16/19 Spoke with Kelly, the manager. Rates stayed the same. ALCOSAN fees ARE included.  (Legal Tax Service who does the billing confirmed that ALCOSAN fees are not listed separately on the bill.) They bill mnthly $13.34 service fee and $7/1,000 gallons, but I put the service fee in the quarterly box to deduct ALCOSAN fees. </t>
  </si>
  <si>
    <t xml:space="preserve">Survey completed by Frank Pearsol of NV Sanitary Authority, but there was some inconsistent information so a phone call (April 2019) confirmed the rates. They have a base minimum charge for 6,000 gallons, using $12.30/1,000 so the minimum quarterly bill is $73.80 for usage of 6,000 gallons or less.  Anything over the 6,000 is charged at $12.30/1,000.  All of these fees include ALCOSAN's rates.  They also have a $4.50 flat service fee quarterly.  These rates are the same as 2018. </t>
  </si>
  <si>
    <t xml:space="preserve">As of 4/16/19: no rate change has been reported for 2019 to Jordan Tax Service who does the billing. </t>
  </si>
  <si>
    <t>Kilbuck^</t>
  </si>
  <si>
    <t xml:space="preserve">2019 rates confirmed with Jordan Tax Service who does the billing.  $18.69 quarterly fee and $11.94/1,000 gallons usage.  Both include ALCOSAN fees.  Rates only went up by ALCOSAN's increase. </t>
  </si>
  <si>
    <t xml:space="preserve">Millvale - Girty's Run^ </t>
  </si>
  <si>
    <t xml:space="preserve">Survey completed by Judith Kording (March 2019). $8.50 flat service charge every two months for a minimum usage of 3,000 gallons. No rate increase other than ALCOSAN. Base minimum rate was multiplied by 1.5 to represent the third month in the quarter. </t>
  </si>
  <si>
    <t>Survey completed by Barb Ruhie.  Sharpsburg bills every two months.  It provided conflicting information so the rates were confirmed with a call to Hampton Water/Sewer Authority (4/17/19) who does the billing Flat rate increased from $31.74 to $32.46/3,000 gallons and $9.10/1,000 after that (includes ALCOSAN fees).  Barb said municipal rates increased .94% from 2018, but the overall municipal part of rate went down for the customer because the ALCOSAN fees are rolled into it.(Note: Because of the bimonthly billing cycle, to translate these fees into a quarterly, bill the base rate of 32.46 was multiplied by 1.5 and then ALCOSAN fees removed. The 10,000 additional gallons were calculated using the $9.10/1,000 minus ALCOSAN charge.</t>
  </si>
  <si>
    <t>Baldwin Township^</t>
  </si>
  <si>
    <t>2019 rates were obtained from JORDAN TAX SERVICE (4/16/19).  Municipal rates are same as 2018.  $13.44/1,000, which includes ALCOSAN usage rate.  The municipal usage fee remains at $5.50/1,000.  Overall bill only increased by ALCOSAN's increase.</t>
  </si>
  <si>
    <t>Carnegie^</t>
  </si>
  <si>
    <t>2019 rates were obtained from JORDAN TAX SERVICE (4/16/19).  Municipal rates are same as 2018.  $14.29/1,000, which includes ALCOSAN usage rate.  The municipal usage fee remains at $6.35/1,000.  Overall bill only increased by ALCOSAN's increase.</t>
  </si>
  <si>
    <t>2019 rates were obtained from JORDAN TAX SERVICE (4/16/19).  Municipal rates are same as 2018.  $12.44/1,000, which includes ALCOSAN usage rate.  The municipal usage fee remains at $4.50/1,000.  Overall bill only increased by ALCOSAN's increase.</t>
  </si>
  <si>
    <t>Dormont^</t>
  </si>
  <si>
    <t>2019 rates were obtained from JORDAN TAX SERVICE (4/16/19).  Municipal rates are same as 2018.  $13.94/1,000, which includes ALCOSAN usage rate.  The municipal usage fee remains at $6.00/1,000.  Overall bill only increased by ALCOSAN's increase.</t>
  </si>
  <si>
    <t>Rosslyn Farms ^</t>
  </si>
  <si>
    <t>Stowe^</t>
  </si>
  <si>
    <t>West Homestead^</t>
  </si>
  <si>
    <t>2019 rates were obtained from JORDAN TAX SERVICE (4/16/19).  Municipal rates are same as 2018.  $6.84/monthly service fee and $12.49/1,000. Both include ALCOSAN rates.  The municipal fees remaiin at $1.28/mo service fee and  $4.55/1,000.  Overall bill only increased by ALCOSAN's increase.</t>
  </si>
  <si>
    <t xml:space="preserve"> LVM 4/11/19 for Eddie Figas. 4/16/19: Millvale's automated message says to contact Jordan Tax Service regarding sewage billing, so requested Millvale rates from Jordan Tax.  4/16/19: Jordan Tax provided the following rates: monthly service fee of $6.36, which includes alcosan service fee. $13.50 qtr for first 5,000 gallons.  Then and $14.19/1,000 for additional usage beyond 5,000.  This includes ALCOSAN rate and also includes a $5/1,000 rate that goes to Girty's Run.  In the end, Millvale, gets 80 cents ($2.40/qtr)  from the service fee and $1.25/1,000 for usage.  Girty's Run gets the $5.00/1,000 usage.  Everything outside of the ALCOSAN rates has been rolled into the "municipal fee" for this survey. </t>
  </si>
  <si>
    <t>2019 rates were obtained from JORDAN TAX SERVICE (4/16/19).  Municipal usage rate increased by 30 cents from $4.30 to $4.60  (about 6% increase).  $12.54/1,000.  includes ALCOSAN rates.  They bill quarterly.</t>
  </si>
  <si>
    <t>According to JORDAN TAX SERVICE (4/16/19), no ordinance has been passed in Ingram to change the rates so they will continue billing as they have in 2018. For the purposes of the study, we have kept the rates the same as well.  The only increase would be ALCOSAN's increase.</t>
  </si>
  <si>
    <r>
      <t xml:space="preserve">^No increase in </t>
    </r>
    <r>
      <rPr>
        <b/>
        <sz val="11"/>
        <rFont val="Calibri"/>
        <family val="2"/>
        <scheme val="minor"/>
      </rPr>
      <t xml:space="preserve">municipal </t>
    </r>
    <r>
      <rPr>
        <sz val="11"/>
        <rFont val="Calibri"/>
        <family val="2"/>
        <scheme val="minor"/>
      </rPr>
      <t>portion of the sewage bill from 2018</t>
    </r>
  </si>
  <si>
    <t>^No increase in municipal portion of the sewage bill from 2018</t>
  </si>
  <si>
    <t>Communities that use WPJWA for sewer billing incur a charge of $1.50 for each monthly customer bill, but that fee is not included on the customer bill as a sewage charge so it is not included in those communities' rates for this survey.</t>
  </si>
  <si>
    <t>Total Municipal Charges below are based on 12,000 GALLONS/QUARTER before ALCOSAN fees.</t>
  </si>
  <si>
    <t>Based on 12,000 gallons</t>
  </si>
  <si>
    <t>Based on 12,000 Gallons</t>
  </si>
  <si>
    <t>Per survey from Jean Warren, municipal flat rate of $11.89/4,500 gallons min. usage and $2.50/1,000 after that remains the same as 2018. These rates do not include ALCOSAN's rates.  Overall rates only increased by ALCOSAN's increase (A total of $7.85).  Whitaker bills monthly so the flat fee of $11.89 would apply three times before the per thousand gallon rate kicked in.  Since we are calculating for 12,000 gallons/qtr.  and the monthly minimum usage charge covers 4,500 gallons, there was no need to use the $2.50/1,000 rate.</t>
  </si>
  <si>
    <t>Rate information confirmed with Laura by phone (4/15/19);  Oakdale rates including all ALCOSAN charges increased from $26.35 monthly fee for the first 1,000 gallons to $28.20, and the $12.90 per thousand increased to $13.90.  Overall, the municipal rate increased by 7.5%. Because Oakdale bills monthly, we multiplied the monthly minimum usage fee for 1,000 gallons three times for the quarterly bill before adding the per thousand gallon fee ($5.96) for the remaining 10,000 gallons.</t>
  </si>
  <si>
    <t>Survey from Howard Theis (Feb. 2019) Rates increased in June 2019 so the increase is not reflected in our 2018 survey.  $32.20 for 250 cu ft (minimum) equivalent to 1,870 gallons. 4.20 per 100 cu. Ft  after that, which translates into 5.61/1,000 gallons rate. Bill monthly so the base rate was used three times in the calculation. Plum's fees include ALCOSAN  charges so we subtracted the total quarterly ALCOSAN fees of $119.91 from the final total quarterly bill.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</si>
</sst>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7" formatCode="&quot;$&quot;#,##0.00_);\(&quot;$&quot;#,##0.00\)"/>
    <numFmt numFmtId="8" formatCode="&quot;$&quot;#,##0.00_);[Red]\(&quot;$&quot;#,##0.00\)"/>
    <numFmt numFmtId="44" formatCode="_(&quot;$&quot;* #,##0.00_);_(&quot;$&quot;* \(#,##0.00\);_(&quot;$&quot;* &quot;-&quot;??_);_(@_)"/>
    <numFmt numFmtId="164" formatCode="&quot;$&quot;#,##0.00"/>
  </numFmts>
  <fonts count="17" x14ac:knownFonts="1">
    <font>
      <sz val="11"/>
      <color theme="1"/>
      <name val="Calibri"/>
      <family val="2"/>
      <scheme val="minor"/>
    </font>
    <font>
      <b/>
      <sz val="10"/>
      <name val="Calibri"/>
      <family val="2"/>
      <scheme val="minor"/>
    </font>
    <font>
      <sz val="10"/>
      <name val="Calibri"/>
      <family val="2"/>
      <scheme val="minor"/>
    </font>
    <font>
      <b/>
      <sz val="11"/>
      <name val="Arial"/>
      <family val="2"/>
    </font>
    <font>
      <sz val="11"/>
      <name val="Arial"/>
      <family val="2"/>
    </font>
    <font>
      <sz val="11"/>
      <name val="Calibri"/>
      <family val="2"/>
      <scheme val="minor"/>
    </font>
    <font>
      <b/>
      <sz val="11"/>
      <name val="Calibri"/>
      <family val="2"/>
      <scheme val="minor"/>
    </font>
    <font>
      <sz val="9"/>
      <name val="Calibri"/>
      <family val="2"/>
      <scheme val="minor"/>
    </font>
    <font>
      <vertAlign val="superscript"/>
      <sz val="11"/>
      <name val="Calibri"/>
      <family val="2"/>
      <scheme val="minor"/>
    </font>
    <font>
      <b/>
      <sz val="14"/>
      <name val="Calibri"/>
      <family val="2"/>
      <scheme val="minor"/>
    </font>
    <font>
      <b/>
      <sz val="12"/>
      <color theme="3"/>
      <name val="Calibri"/>
      <family val="2"/>
      <scheme val="minor"/>
    </font>
    <font>
      <sz val="9"/>
      <color theme="1"/>
      <name val="Calibri"/>
      <family val="2"/>
      <scheme val="minor"/>
    </font>
    <font>
      <sz val="11"/>
      <color theme="1"/>
      <name val="Calibri"/>
      <family val="2"/>
      <scheme val="minor"/>
    </font>
    <font>
      <sz val="9"/>
      <name val="Calibri"/>
      <family val="2"/>
    </font>
    <font>
      <b/>
      <sz val="9"/>
      <name val="Calibri"/>
      <family val="2"/>
    </font>
    <font>
      <b/>
      <sz val="9"/>
      <name val="Calibri"/>
      <family val="2"/>
      <scheme val="minor"/>
    </font>
    <font>
      <i/>
      <sz val="9"/>
      <name val="Calibri"/>
      <family val="2"/>
      <scheme val="minor"/>
    </font>
  </fonts>
  <fills count="3">
    <fill>
      <patternFill patternType="none"/>
    </fill>
    <fill>
      <patternFill patternType="gray125"/>
    </fill>
    <fill>
      <patternFill patternType="solid">
        <fgColor theme="0"/>
        <bgColor indexed="64"/>
      </patternFill>
    </fill>
  </fills>
  <borders count="13">
    <border>
      <left/>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auto="1"/>
      </left>
      <right/>
      <top/>
      <bottom/>
      <diagonal/>
    </border>
    <border>
      <left/>
      <right style="thin">
        <color auto="1"/>
      </right>
      <top style="thin">
        <color auto="1"/>
      </top>
      <bottom/>
      <diagonal/>
    </border>
    <border>
      <left/>
      <right style="thin">
        <color auto="1"/>
      </right>
      <top/>
      <bottom style="thin">
        <color auto="1"/>
      </bottom>
      <diagonal/>
    </border>
    <border>
      <left/>
      <right style="thin">
        <color auto="1"/>
      </right>
      <top style="thin">
        <color auto="1"/>
      </top>
      <bottom style="thin">
        <color auto="1"/>
      </bottom>
      <diagonal/>
    </border>
    <border>
      <left/>
      <right style="medium">
        <color indexed="64"/>
      </right>
      <top style="medium">
        <color indexed="64"/>
      </top>
      <bottom style="medium">
        <color indexed="64"/>
      </bottom>
      <diagonal/>
    </border>
    <border>
      <left/>
      <right style="medium">
        <color indexed="64"/>
      </right>
      <top/>
      <bottom/>
      <diagonal/>
    </border>
  </borders>
  <cellStyleXfs count="2">
    <xf numFmtId="0" fontId="0" fillId="0" borderId="0"/>
    <xf numFmtId="44" fontId="12" fillId="0" borderId="0" applyFont="0" applyFill="0" applyBorder="0" applyAlignment="0" applyProtection="0"/>
  </cellStyleXfs>
  <cellXfs count="80">
    <xf numFmtId="0" fontId="0" fillId="0" borderId="0" xfId="0"/>
    <xf numFmtId="0" fontId="1" fillId="0" borderId="0" xfId="0" applyFont="1" applyFill="1"/>
    <xf numFmtId="0" fontId="2" fillId="0" borderId="0" xfId="0" applyFont="1" applyFill="1" applyAlignment="1">
      <alignment horizontal="left" wrapText="1"/>
    </xf>
    <xf numFmtId="0" fontId="3" fillId="0" borderId="0" xfId="0" applyFont="1" applyFill="1"/>
    <xf numFmtId="0" fontId="4" fillId="0" borderId="0" xfId="0" applyFont="1" applyFill="1" applyBorder="1"/>
    <xf numFmtId="0" fontId="5" fillId="0" borderId="0" xfId="0" applyFont="1" applyFill="1"/>
    <xf numFmtId="0" fontId="5" fillId="0" borderId="0" xfId="0" applyFont="1" applyFill="1" applyAlignment="1">
      <alignment horizontal="center" wrapText="1"/>
    </xf>
    <xf numFmtId="0" fontId="5" fillId="0" borderId="0" xfId="0" applyFont="1" applyFill="1" applyBorder="1"/>
    <xf numFmtId="0" fontId="5" fillId="0" borderId="0" xfId="0" applyFont="1" applyFill="1" applyAlignment="1">
      <alignment horizontal="left" wrapText="1"/>
    </xf>
    <xf numFmtId="0" fontId="8" fillId="0" borderId="0" xfId="0" applyFont="1" applyFill="1"/>
    <xf numFmtId="0" fontId="9" fillId="0" borderId="0" xfId="0" applyFont="1" applyFill="1"/>
    <xf numFmtId="0" fontId="10" fillId="0" borderId="0" xfId="0" applyFont="1" applyFill="1"/>
    <xf numFmtId="0" fontId="1" fillId="0" borderId="0" xfId="0" applyFont="1" applyFill="1" applyBorder="1"/>
    <xf numFmtId="0" fontId="6" fillId="0" borderId="0" xfId="0" applyFont="1" applyFill="1"/>
    <xf numFmtId="164" fontId="5" fillId="0" borderId="0" xfId="0" applyNumberFormat="1" applyFont="1" applyFill="1"/>
    <xf numFmtId="164" fontId="5" fillId="0" borderId="0" xfId="0" applyNumberFormat="1" applyFont="1" applyFill="1" applyBorder="1" applyAlignment="1">
      <alignment horizontal="center"/>
    </xf>
    <xf numFmtId="0" fontId="5" fillId="0" borderId="0" xfId="0" applyFont="1" applyFill="1" applyBorder="1" applyAlignment="1">
      <alignment horizontal="center"/>
    </xf>
    <xf numFmtId="3" fontId="5" fillId="0" borderId="0" xfId="0" applyNumberFormat="1" applyFont="1" applyFill="1" applyBorder="1" applyAlignment="1">
      <alignment horizontal="center"/>
    </xf>
    <xf numFmtId="0" fontId="5" fillId="2" borderId="0" xfId="0" applyFont="1" applyFill="1"/>
    <xf numFmtId="0" fontId="0" fillId="2" borderId="0" xfId="0" applyFont="1" applyFill="1"/>
    <xf numFmtId="0" fontId="5" fillId="0" borderId="7" xfId="0" applyFont="1" applyFill="1" applyBorder="1" applyAlignment="1">
      <alignment horizontal="left" vertical="top" wrapText="1"/>
    </xf>
    <xf numFmtId="0" fontId="2" fillId="0" borderId="7" xfId="0" applyFont="1" applyFill="1" applyBorder="1" applyAlignment="1">
      <alignment horizontal="left" vertical="top" wrapText="1"/>
    </xf>
    <xf numFmtId="0" fontId="5" fillId="0" borderId="7" xfId="0" applyFont="1" applyFill="1" applyBorder="1" applyAlignment="1">
      <alignment horizontal="left" vertical="top"/>
    </xf>
    <xf numFmtId="0" fontId="5" fillId="0" borderId="1" xfId="0" applyFont="1" applyFill="1" applyBorder="1" applyAlignment="1">
      <alignment vertical="top" wrapText="1"/>
    </xf>
    <xf numFmtId="0" fontId="5" fillId="0" borderId="2" xfId="0" applyFont="1" applyFill="1" applyBorder="1" applyAlignment="1">
      <alignment vertical="top"/>
    </xf>
    <xf numFmtId="0" fontId="5" fillId="0" borderId="1" xfId="0" applyFont="1" applyFill="1" applyBorder="1" applyAlignment="1">
      <alignment vertical="top"/>
    </xf>
    <xf numFmtId="0" fontId="5" fillId="0" borderId="3" xfId="0" applyFont="1" applyFill="1" applyBorder="1" applyAlignment="1">
      <alignment vertical="top"/>
    </xf>
    <xf numFmtId="0" fontId="5" fillId="0" borderId="3" xfId="0" applyFont="1" applyFill="1" applyBorder="1" applyAlignment="1">
      <alignment vertical="top" wrapText="1"/>
    </xf>
    <xf numFmtId="164" fontId="5" fillId="0" borderId="2" xfId="0" applyNumberFormat="1" applyFont="1" applyFill="1" applyBorder="1" applyAlignment="1">
      <alignment vertical="top"/>
    </xf>
    <xf numFmtId="0" fontId="0" fillId="2" borderId="2" xfId="0" applyFill="1" applyBorder="1" applyAlignment="1">
      <alignment vertical="top"/>
    </xf>
    <xf numFmtId="164" fontId="0" fillId="2" borderId="2" xfId="0" applyNumberFormat="1" applyFont="1" applyFill="1" applyBorder="1" applyAlignment="1">
      <alignment vertical="top"/>
    </xf>
    <xf numFmtId="3" fontId="0" fillId="2" borderId="2" xfId="0" applyNumberFormat="1" applyFont="1" applyFill="1" applyBorder="1" applyAlignment="1">
      <alignment vertical="top"/>
    </xf>
    <xf numFmtId="1" fontId="0" fillId="2" borderId="2" xfId="0" applyNumberFormat="1" applyFont="1" applyFill="1" applyBorder="1" applyAlignment="1">
      <alignment vertical="top"/>
    </xf>
    <xf numFmtId="164" fontId="5" fillId="2" borderId="2" xfId="0" applyNumberFormat="1" applyFont="1" applyFill="1" applyBorder="1" applyAlignment="1">
      <alignment vertical="top"/>
    </xf>
    <xf numFmtId="0" fontId="5" fillId="2" borderId="2" xfId="0" applyFont="1" applyFill="1" applyBorder="1" applyAlignment="1">
      <alignment vertical="top"/>
    </xf>
    <xf numFmtId="3" fontId="5" fillId="2" borderId="2" xfId="0" applyNumberFormat="1" applyFont="1" applyFill="1" applyBorder="1" applyAlignment="1">
      <alignment vertical="top"/>
    </xf>
    <xf numFmtId="1" fontId="5" fillId="2" borderId="2" xfId="0" applyNumberFormat="1" applyFont="1" applyFill="1" applyBorder="1" applyAlignment="1">
      <alignment vertical="top"/>
    </xf>
    <xf numFmtId="0" fontId="5" fillId="0" borderId="0" xfId="0" applyFont="1" applyFill="1" applyAlignment="1">
      <alignment vertical="top"/>
    </xf>
    <xf numFmtId="3" fontId="5" fillId="0" borderId="2" xfId="0" applyNumberFormat="1" applyFont="1" applyFill="1" applyBorder="1" applyAlignment="1">
      <alignment vertical="top"/>
    </xf>
    <xf numFmtId="8" fontId="5" fillId="2" borderId="2" xfId="0" applyNumberFormat="1" applyFont="1" applyFill="1" applyBorder="1" applyAlignment="1">
      <alignment vertical="top"/>
    </xf>
    <xf numFmtId="0" fontId="7" fillId="0" borderId="3" xfId="0" applyFont="1" applyFill="1" applyBorder="1" applyAlignment="1">
      <alignment vertical="top" wrapText="1"/>
    </xf>
    <xf numFmtId="0" fontId="5" fillId="2" borderId="4" xfId="0" applyFont="1" applyFill="1" applyBorder="1" applyAlignment="1">
      <alignment vertical="top"/>
    </xf>
    <xf numFmtId="0" fontId="7" fillId="2" borderId="2" xfId="0" applyFont="1" applyFill="1" applyBorder="1" applyAlignment="1">
      <alignment vertical="top" wrapText="1"/>
    </xf>
    <xf numFmtId="0" fontId="5" fillId="2" borderId="5" xfId="0" applyFont="1" applyFill="1" applyBorder="1" applyAlignment="1">
      <alignment vertical="top"/>
    </xf>
    <xf numFmtId="0" fontId="5" fillId="0" borderId="5" xfId="0" applyFont="1" applyFill="1" applyBorder="1" applyAlignment="1">
      <alignment vertical="top"/>
    </xf>
    <xf numFmtId="0" fontId="7" fillId="0" borderId="2" xfId="0" applyFont="1" applyFill="1" applyBorder="1" applyAlignment="1">
      <alignment vertical="top" wrapText="1"/>
    </xf>
    <xf numFmtId="1" fontId="5" fillId="0" borderId="2" xfId="0" applyNumberFormat="1" applyFont="1" applyFill="1" applyBorder="1" applyAlignment="1">
      <alignment vertical="top"/>
    </xf>
    <xf numFmtId="0" fontId="0" fillId="0" borderId="2" xfId="0" applyFill="1" applyBorder="1" applyAlignment="1">
      <alignment vertical="top"/>
    </xf>
    <xf numFmtId="164" fontId="0" fillId="0" borderId="2" xfId="0" applyNumberFormat="1" applyFont="1" applyFill="1" applyBorder="1" applyAlignment="1">
      <alignment vertical="top"/>
    </xf>
    <xf numFmtId="3" fontId="0" fillId="0" borderId="2" xfId="0" applyNumberFormat="1" applyFont="1" applyFill="1" applyBorder="1" applyAlignment="1">
      <alignment vertical="top"/>
    </xf>
    <xf numFmtId="0" fontId="0" fillId="0" borderId="2" xfId="0" applyFont="1" applyFill="1" applyBorder="1" applyAlignment="1">
      <alignment vertical="top"/>
    </xf>
    <xf numFmtId="0" fontId="0" fillId="0" borderId="0" xfId="0" applyFont="1" applyFill="1"/>
    <xf numFmtId="44" fontId="5" fillId="0" borderId="2" xfId="1" applyFont="1" applyFill="1" applyBorder="1" applyAlignment="1">
      <alignment vertical="top"/>
    </xf>
    <xf numFmtId="44" fontId="5" fillId="0" borderId="0" xfId="1" applyFont="1" applyFill="1"/>
    <xf numFmtId="1" fontId="5" fillId="0" borderId="2" xfId="1" applyNumberFormat="1" applyFont="1" applyFill="1" applyBorder="1" applyAlignment="1">
      <alignment vertical="top"/>
    </xf>
    <xf numFmtId="7" fontId="5" fillId="0" borderId="2" xfId="1" applyNumberFormat="1" applyFont="1" applyFill="1" applyBorder="1" applyAlignment="1">
      <alignment vertical="top"/>
    </xf>
    <xf numFmtId="0" fontId="5" fillId="0" borderId="2" xfId="0" applyFont="1" applyFill="1" applyBorder="1"/>
    <xf numFmtId="0" fontId="5" fillId="0" borderId="2" xfId="0" applyNumberFormat="1" applyFont="1" applyFill="1" applyBorder="1" applyAlignment="1">
      <alignment vertical="top"/>
    </xf>
    <xf numFmtId="164" fontId="5" fillId="0" borderId="0" xfId="0" applyNumberFormat="1" applyFont="1" applyFill="1" applyAlignment="1">
      <alignment vertical="top"/>
    </xf>
    <xf numFmtId="0" fontId="5" fillId="0" borderId="0" xfId="0" applyNumberFormat="1" applyFont="1" applyFill="1" applyAlignment="1">
      <alignment vertical="top"/>
    </xf>
    <xf numFmtId="0" fontId="13" fillId="0" borderId="2" xfId="0" applyFont="1" applyFill="1" applyBorder="1" applyAlignment="1">
      <alignment vertical="top" wrapText="1"/>
    </xf>
    <xf numFmtId="0" fontId="13" fillId="2" borderId="2" xfId="0" applyFont="1" applyFill="1" applyBorder="1" applyAlignment="1">
      <alignment vertical="top" wrapText="1"/>
    </xf>
    <xf numFmtId="49" fontId="13" fillId="0" borderId="0" xfId="0" applyNumberFormat="1" applyFont="1" applyFill="1" applyAlignment="1">
      <alignment horizontal="left" vertical="top" wrapText="1"/>
    </xf>
    <xf numFmtId="49" fontId="13" fillId="0" borderId="1" xfId="0" applyNumberFormat="1" applyFont="1" applyFill="1" applyBorder="1" applyAlignment="1">
      <alignment vertical="top" wrapText="1"/>
    </xf>
    <xf numFmtId="0" fontId="13" fillId="0" borderId="3" xfId="0" applyFont="1" applyFill="1" applyBorder="1" applyAlignment="1">
      <alignment vertical="top" wrapText="1"/>
    </xf>
    <xf numFmtId="0" fontId="5" fillId="0" borderId="6" xfId="0" applyFont="1" applyFill="1" applyBorder="1" applyAlignment="1">
      <alignment vertical="top"/>
    </xf>
    <xf numFmtId="0" fontId="14" fillId="0" borderId="2" xfId="0" applyFont="1" applyFill="1" applyBorder="1" applyAlignment="1">
      <alignment vertical="top" wrapText="1"/>
    </xf>
    <xf numFmtId="0" fontId="16" fillId="0" borderId="0" xfId="0" applyFont="1" applyFill="1"/>
    <xf numFmtId="0" fontId="2" fillId="0" borderId="0" xfId="0" applyFont="1" applyFill="1" applyBorder="1" applyAlignment="1">
      <alignment horizontal="left" vertical="top" wrapText="1"/>
    </xf>
    <xf numFmtId="0" fontId="5" fillId="0" borderId="8" xfId="0" applyFont="1" applyFill="1" applyBorder="1" applyAlignment="1">
      <alignment vertical="top" wrapText="1"/>
    </xf>
    <xf numFmtId="0" fontId="2" fillId="0" borderId="9" xfId="0" applyFont="1" applyFill="1" applyBorder="1" applyAlignment="1">
      <alignment vertical="top" wrapText="1"/>
    </xf>
    <xf numFmtId="0" fontId="7" fillId="0" borderId="10" xfId="0" applyFont="1" applyFill="1" applyBorder="1" applyAlignment="1">
      <alignment vertical="top" wrapText="1"/>
    </xf>
    <xf numFmtId="0" fontId="11" fillId="2" borderId="10" xfId="0" applyFont="1" applyFill="1" applyBorder="1" applyAlignment="1">
      <alignment vertical="top" wrapText="1"/>
    </xf>
    <xf numFmtId="0" fontId="7" fillId="2" borderId="10" xfId="0" applyFont="1" applyFill="1" applyBorder="1" applyAlignment="1">
      <alignment vertical="top" wrapText="1"/>
    </xf>
    <xf numFmtId="0" fontId="11" fillId="0" borderId="10" xfId="0" applyFont="1" applyFill="1" applyBorder="1" applyAlignment="1">
      <alignment vertical="top" wrapText="1"/>
    </xf>
    <xf numFmtId="0" fontId="7" fillId="2" borderId="11" xfId="0" applyFont="1" applyFill="1" applyBorder="1" applyAlignment="1">
      <alignment vertical="top" wrapText="1"/>
    </xf>
    <xf numFmtId="0" fontId="7" fillId="0" borderId="10" xfId="0" applyNumberFormat="1" applyFont="1" applyFill="1" applyBorder="1" applyAlignment="1">
      <alignment vertical="top" wrapText="1"/>
    </xf>
    <xf numFmtId="44" fontId="7" fillId="0" borderId="10" xfId="1" applyFont="1" applyFill="1" applyBorder="1" applyAlignment="1">
      <alignment vertical="top" wrapText="1"/>
    </xf>
    <xf numFmtId="0" fontId="5" fillId="0" borderId="12" xfId="0" applyFont="1" applyFill="1" applyBorder="1"/>
    <xf numFmtId="7" fontId="5" fillId="0" borderId="2" xfId="0" applyNumberFormat="1" applyFont="1" applyFill="1" applyBorder="1" applyAlignment="1">
      <alignment vertical="top"/>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41"/>
  <sheetViews>
    <sheetView tabSelected="1" topLeftCell="A10" zoomScaleNormal="100" workbookViewId="0">
      <selection activeCell="N10" sqref="N1:N1048576"/>
    </sheetView>
  </sheetViews>
  <sheetFormatPr defaultColWidth="9.140625" defaultRowHeight="15" x14ac:dyDescent="0.25"/>
  <cols>
    <col min="1" max="1" width="20.85546875" style="5" customWidth="1"/>
    <col min="2" max="2" width="9" style="5" customWidth="1"/>
    <col min="3" max="3" width="9.140625" style="5" customWidth="1"/>
    <col min="4" max="4" width="8.7109375" style="5" customWidth="1"/>
    <col min="5" max="5" width="8.42578125" style="5" customWidth="1"/>
    <col min="6" max="6" width="11.85546875" style="5" customWidth="1"/>
    <col min="7" max="7" width="10.28515625" style="5" customWidth="1"/>
    <col min="8" max="8" width="22.7109375" style="5" customWidth="1"/>
    <col min="9" max="10" width="15.28515625" style="5" customWidth="1"/>
    <col min="11" max="11" width="16.5703125" style="5" customWidth="1"/>
    <col min="12" max="12" width="15" style="5" customWidth="1"/>
    <col min="13" max="13" width="18.5703125" style="5" customWidth="1"/>
    <col min="14" max="14" width="62.42578125" style="22" hidden="1" customWidth="1"/>
    <col min="15" max="16384" width="9.140625" style="5"/>
  </cols>
  <sheetData>
    <row r="1" spans="1:14" ht="18.75" x14ac:dyDescent="0.3">
      <c r="A1" s="10" t="s">
        <v>57</v>
      </c>
      <c r="B1" s="10"/>
      <c r="C1" s="10"/>
      <c r="N1" s="20"/>
    </row>
    <row r="2" spans="1:14" ht="15.75" x14ac:dyDescent="0.25">
      <c r="A2" s="11" t="s">
        <v>0</v>
      </c>
      <c r="B2" s="11"/>
      <c r="C2" s="11"/>
      <c r="D2" s="11"/>
      <c r="M2" s="8"/>
      <c r="N2" s="20"/>
    </row>
    <row r="3" spans="1:14" x14ac:dyDescent="0.25">
      <c r="A3" s="5" t="s">
        <v>54</v>
      </c>
      <c r="B3" s="1"/>
      <c r="N3" s="20"/>
    </row>
    <row r="4" spans="1:14" x14ac:dyDescent="0.25">
      <c r="A4" s="5" t="s">
        <v>205</v>
      </c>
      <c r="C4" s="1"/>
      <c r="D4" s="1"/>
    </row>
    <row r="5" spans="1:14" ht="15.75" thickBot="1" x14ac:dyDescent="0.3">
      <c r="C5" s="1"/>
      <c r="D5" s="1"/>
      <c r="M5" s="78"/>
      <c r="N5" s="68"/>
    </row>
    <row r="6" spans="1:14" ht="30.75" thickBot="1" x14ac:dyDescent="0.3">
      <c r="A6" s="23" t="s">
        <v>46</v>
      </c>
      <c r="B6" s="24" t="s">
        <v>1</v>
      </c>
      <c r="C6" s="24"/>
      <c r="D6" s="24" t="s">
        <v>31</v>
      </c>
      <c r="E6" s="24"/>
      <c r="F6" s="24" t="s">
        <v>2</v>
      </c>
      <c r="G6" s="24"/>
      <c r="H6" s="23" t="s">
        <v>50</v>
      </c>
      <c r="I6" s="23" t="s">
        <v>43</v>
      </c>
      <c r="J6" s="23" t="s">
        <v>44</v>
      </c>
      <c r="K6" s="25" t="s">
        <v>3</v>
      </c>
      <c r="L6" s="23" t="s">
        <v>51</v>
      </c>
      <c r="M6" s="25" t="s">
        <v>49</v>
      </c>
      <c r="N6" s="69" t="s">
        <v>62</v>
      </c>
    </row>
    <row r="7" spans="1:14" ht="33.75" customHeight="1" thickBot="1" x14ac:dyDescent="0.3">
      <c r="A7" s="26"/>
      <c r="B7" s="24" t="s">
        <v>4</v>
      </c>
      <c r="C7" s="24" t="s">
        <v>5</v>
      </c>
      <c r="D7" s="24" t="s">
        <v>6</v>
      </c>
      <c r="E7" s="24" t="s">
        <v>7</v>
      </c>
      <c r="F7" s="24" t="s">
        <v>6</v>
      </c>
      <c r="G7" s="24" t="s">
        <v>8</v>
      </c>
      <c r="H7" s="27" t="s">
        <v>206</v>
      </c>
      <c r="I7" s="26" t="s">
        <v>9</v>
      </c>
      <c r="J7" s="26" t="s">
        <v>45</v>
      </c>
      <c r="K7" s="27" t="s">
        <v>207</v>
      </c>
      <c r="L7" s="27" t="s">
        <v>207</v>
      </c>
      <c r="M7" s="27" t="s">
        <v>52</v>
      </c>
      <c r="N7" s="70"/>
    </row>
    <row r="8" spans="1:14" ht="30" customHeight="1" thickBot="1" x14ac:dyDescent="0.3">
      <c r="A8" s="24" t="s">
        <v>33</v>
      </c>
      <c r="B8" s="28"/>
      <c r="C8" s="28">
        <f>16.69*0.35</f>
        <v>5.8414999999999999</v>
      </c>
      <c r="D8" s="28">
        <f>7.94*0.35</f>
        <v>2.7789999999999999</v>
      </c>
      <c r="E8" s="38">
        <v>1000</v>
      </c>
      <c r="F8" s="28"/>
      <c r="G8" s="46"/>
      <c r="H8" s="28">
        <f>C8 +(D8*12)</f>
        <v>39.189499999999995</v>
      </c>
      <c r="I8" s="28">
        <v>16.690000000000001</v>
      </c>
      <c r="J8" s="28">
        <v>7.94</v>
      </c>
      <c r="K8" s="28">
        <f>7.94*12</f>
        <v>95.28</v>
      </c>
      <c r="L8" s="28">
        <f>I8+K8</f>
        <v>111.97</v>
      </c>
      <c r="M8" s="28">
        <f>H8+L8</f>
        <v>151.15949999999998</v>
      </c>
      <c r="N8" s="71" t="s">
        <v>110</v>
      </c>
    </row>
    <row r="9" spans="1:14" s="19" customFormat="1" ht="36.75" thickBot="1" x14ac:dyDescent="0.3">
      <c r="A9" s="29" t="s">
        <v>114</v>
      </c>
      <c r="B9" s="30"/>
      <c r="C9" s="30"/>
      <c r="D9" s="30">
        <v>3</v>
      </c>
      <c r="E9" s="31">
        <v>1000</v>
      </c>
      <c r="F9" s="30"/>
      <c r="G9" s="32"/>
      <c r="H9" s="30">
        <f>C9 +(D9*12)</f>
        <v>36</v>
      </c>
      <c r="I9" s="33">
        <v>16.690000000000001</v>
      </c>
      <c r="J9" s="33">
        <v>7.94</v>
      </c>
      <c r="K9" s="28">
        <f t="shared" ref="K9:K33" si="0">7.94*12</f>
        <v>95.28</v>
      </c>
      <c r="L9" s="33">
        <f t="shared" ref="L9:L33" si="1">I9+K9</f>
        <v>111.97</v>
      </c>
      <c r="M9" s="30">
        <f t="shared" ref="M9:M33" si="2">H9+L9</f>
        <v>147.97</v>
      </c>
      <c r="N9" s="72" t="s">
        <v>105</v>
      </c>
    </row>
    <row r="10" spans="1:14" s="18" customFormat="1" ht="36.75" thickBot="1" x14ac:dyDescent="0.3">
      <c r="A10" s="34" t="s">
        <v>106</v>
      </c>
      <c r="B10" s="33"/>
      <c r="C10" s="33"/>
      <c r="D10" s="33">
        <v>4.5</v>
      </c>
      <c r="E10" s="35">
        <v>1000</v>
      </c>
      <c r="F10" s="33"/>
      <c r="G10" s="36"/>
      <c r="H10" s="33">
        <f>C10 +(D10*12)</f>
        <v>54</v>
      </c>
      <c r="I10" s="33">
        <v>16.690000000000001</v>
      </c>
      <c r="J10" s="33">
        <v>7.94</v>
      </c>
      <c r="K10" s="28">
        <f t="shared" si="0"/>
        <v>95.28</v>
      </c>
      <c r="L10" s="33">
        <f t="shared" si="1"/>
        <v>111.97</v>
      </c>
      <c r="M10" s="33">
        <f t="shared" si="2"/>
        <v>165.97</v>
      </c>
      <c r="N10" s="73" t="s">
        <v>74</v>
      </c>
    </row>
    <row r="11" spans="1:14" ht="36.75" thickBot="1" x14ac:dyDescent="0.3">
      <c r="A11" s="24" t="s">
        <v>96</v>
      </c>
      <c r="B11" s="28"/>
      <c r="C11" s="28"/>
      <c r="D11" s="28">
        <v>6</v>
      </c>
      <c r="E11" s="38">
        <v>1000</v>
      </c>
      <c r="F11" s="28"/>
      <c r="G11" s="46"/>
      <c r="H11" s="28">
        <f>C11 +(D11*12)</f>
        <v>72</v>
      </c>
      <c r="I11" s="28">
        <v>16.690000000000001</v>
      </c>
      <c r="J11" s="28">
        <v>7.94</v>
      </c>
      <c r="K11" s="28">
        <f t="shared" si="0"/>
        <v>95.28</v>
      </c>
      <c r="L11" s="28">
        <f t="shared" si="1"/>
        <v>111.97</v>
      </c>
      <c r="M11" s="28">
        <f t="shared" si="2"/>
        <v>183.97</v>
      </c>
      <c r="N11" s="71" t="s">
        <v>97</v>
      </c>
    </row>
    <row r="12" spans="1:14" s="18" customFormat="1" ht="66" customHeight="1" thickBot="1" x14ac:dyDescent="0.3">
      <c r="A12" s="24" t="s">
        <v>175</v>
      </c>
      <c r="B12" s="28"/>
      <c r="C12" s="28"/>
      <c r="D12" s="28">
        <f>79.6-16.69-(7.94*8)</f>
        <v>-0.61000000000000654</v>
      </c>
      <c r="E12" s="38">
        <v>8000</v>
      </c>
      <c r="F12" s="28">
        <v>2.0099999999999998</v>
      </c>
      <c r="G12" s="38">
        <v>8001</v>
      </c>
      <c r="H12" s="28">
        <f>(D12*8) +(F12*4)</f>
        <v>3.1599999999999469</v>
      </c>
      <c r="I12" s="28">
        <v>16.690000000000001</v>
      </c>
      <c r="J12" s="28">
        <v>7.94</v>
      </c>
      <c r="K12" s="28">
        <f t="shared" si="0"/>
        <v>95.28</v>
      </c>
      <c r="L12" s="28">
        <f t="shared" si="1"/>
        <v>111.97</v>
      </c>
      <c r="M12" s="28">
        <f t="shared" si="2"/>
        <v>115.12999999999994</v>
      </c>
      <c r="N12" s="71" t="s">
        <v>142</v>
      </c>
    </row>
    <row r="13" spans="1:14" s="51" customFormat="1" ht="25.5" customHeight="1" thickBot="1" x14ac:dyDescent="0.3">
      <c r="A13" s="47" t="s">
        <v>34</v>
      </c>
      <c r="B13" s="48"/>
      <c r="C13" s="48">
        <f>16.69*0.5</f>
        <v>8.3450000000000006</v>
      </c>
      <c r="D13" s="48">
        <f>7.94*0.5</f>
        <v>3.97</v>
      </c>
      <c r="E13" s="49">
        <v>1000</v>
      </c>
      <c r="F13" s="48"/>
      <c r="G13" s="49"/>
      <c r="H13" s="48">
        <f>C13 +(D13*12)</f>
        <v>55.984999999999999</v>
      </c>
      <c r="I13" s="28">
        <v>16.690000000000001</v>
      </c>
      <c r="J13" s="28">
        <v>7.94</v>
      </c>
      <c r="K13" s="28">
        <f t="shared" si="0"/>
        <v>95.28</v>
      </c>
      <c r="L13" s="28">
        <f t="shared" si="1"/>
        <v>111.97</v>
      </c>
      <c r="M13" s="48">
        <f t="shared" si="2"/>
        <v>167.95499999999998</v>
      </c>
      <c r="N13" s="74" t="s">
        <v>111</v>
      </c>
    </row>
    <row r="14" spans="1:14" s="18" customFormat="1" ht="36.75" thickBot="1" x14ac:dyDescent="0.3">
      <c r="A14" s="34" t="s">
        <v>107</v>
      </c>
      <c r="B14" s="33"/>
      <c r="C14" s="33"/>
      <c r="D14" s="33">
        <v>4.7</v>
      </c>
      <c r="E14" s="35">
        <v>1000</v>
      </c>
      <c r="F14" s="33"/>
      <c r="G14" s="35"/>
      <c r="H14" s="33">
        <f>C14 +(D14*12)</f>
        <v>56.400000000000006</v>
      </c>
      <c r="I14" s="33">
        <v>16.690000000000001</v>
      </c>
      <c r="J14" s="33">
        <v>7.94</v>
      </c>
      <c r="K14" s="28">
        <f t="shared" si="0"/>
        <v>95.28</v>
      </c>
      <c r="L14" s="33">
        <f t="shared" si="1"/>
        <v>111.97</v>
      </c>
      <c r="M14" s="33">
        <f>H14+L14</f>
        <v>168.37</v>
      </c>
      <c r="N14" s="73" t="s">
        <v>75</v>
      </c>
    </row>
    <row r="15" spans="1:14" s="18" customFormat="1" ht="36.75" thickBot="1" x14ac:dyDescent="0.3">
      <c r="A15" s="34" t="s">
        <v>115</v>
      </c>
      <c r="B15" s="33"/>
      <c r="C15" s="33"/>
      <c r="D15" s="33">
        <v>4.75</v>
      </c>
      <c r="E15" s="35">
        <v>1000</v>
      </c>
      <c r="F15" s="33"/>
      <c r="G15" s="35"/>
      <c r="H15" s="33">
        <f>C15 +(D15*12)</f>
        <v>57</v>
      </c>
      <c r="I15" s="33">
        <v>16.690000000000001</v>
      </c>
      <c r="J15" s="33">
        <v>7.94</v>
      </c>
      <c r="K15" s="28">
        <f t="shared" si="0"/>
        <v>95.28</v>
      </c>
      <c r="L15" s="33">
        <f t="shared" si="1"/>
        <v>111.97</v>
      </c>
      <c r="M15" s="33">
        <f t="shared" si="2"/>
        <v>168.97</v>
      </c>
      <c r="N15" s="73" t="s">
        <v>73</v>
      </c>
    </row>
    <row r="16" spans="1:14" ht="48.75" thickBot="1" x14ac:dyDescent="0.3">
      <c r="A16" s="24" t="s">
        <v>128</v>
      </c>
      <c r="B16" s="28"/>
      <c r="C16" s="28"/>
      <c r="D16" s="28">
        <f>12.75-7.94</f>
        <v>4.8099999999999996</v>
      </c>
      <c r="E16" s="38">
        <v>1000</v>
      </c>
      <c r="F16" s="28"/>
      <c r="G16" s="38"/>
      <c r="H16" s="28">
        <f>C16 +(D16*12)</f>
        <v>57.72</v>
      </c>
      <c r="I16" s="28">
        <v>16.690000000000001</v>
      </c>
      <c r="J16" s="28">
        <v>7.94</v>
      </c>
      <c r="K16" s="28">
        <f t="shared" si="0"/>
        <v>95.28</v>
      </c>
      <c r="L16" s="28">
        <f t="shared" si="1"/>
        <v>111.97</v>
      </c>
      <c r="M16" s="28">
        <f t="shared" si="2"/>
        <v>169.69</v>
      </c>
      <c r="N16" s="71" t="s">
        <v>129</v>
      </c>
    </row>
    <row r="17" spans="1:14" ht="24" customHeight="1" thickBot="1" x14ac:dyDescent="0.3">
      <c r="A17" s="24" t="s">
        <v>112</v>
      </c>
      <c r="B17" s="28"/>
      <c r="C17" s="28"/>
      <c r="D17" s="28">
        <v>5.75</v>
      </c>
      <c r="E17" s="38">
        <v>1000</v>
      </c>
      <c r="F17" s="28"/>
      <c r="G17" s="38"/>
      <c r="H17" s="28">
        <f>C17 +(D17*12)</f>
        <v>69</v>
      </c>
      <c r="I17" s="28">
        <v>16.690000000000001</v>
      </c>
      <c r="J17" s="28">
        <v>7.94</v>
      </c>
      <c r="K17" s="28">
        <f t="shared" si="0"/>
        <v>95.28</v>
      </c>
      <c r="L17" s="28">
        <f t="shared" si="1"/>
        <v>111.97</v>
      </c>
      <c r="M17" s="28">
        <f t="shared" si="2"/>
        <v>180.97</v>
      </c>
      <c r="N17" s="71" t="s">
        <v>116</v>
      </c>
    </row>
    <row r="18" spans="1:14" ht="48.75" thickBot="1" x14ac:dyDescent="0.3">
      <c r="A18" s="24" t="s">
        <v>89</v>
      </c>
      <c r="B18" s="28"/>
      <c r="C18" s="28"/>
      <c r="D18" s="28">
        <f>156.9-119.91</f>
        <v>36.990000000000009</v>
      </c>
      <c r="E18" s="38"/>
      <c r="F18" s="28"/>
      <c r="G18" s="38"/>
      <c r="H18" s="28">
        <f>D18</f>
        <v>36.990000000000009</v>
      </c>
      <c r="I18" s="28">
        <v>16.690000000000001</v>
      </c>
      <c r="J18" s="28">
        <v>7.94</v>
      </c>
      <c r="K18" s="28">
        <f t="shared" si="0"/>
        <v>95.28</v>
      </c>
      <c r="L18" s="28">
        <f t="shared" si="1"/>
        <v>111.97</v>
      </c>
      <c r="M18" s="28">
        <f t="shared" si="2"/>
        <v>148.96</v>
      </c>
      <c r="N18" s="71" t="s">
        <v>166</v>
      </c>
    </row>
    <row r="19" spans="1:14" ht="89.25" customHeight="1" thickBot="1" x14ac:dyDescent="0.3">
      <c r="A19" s="24" t="s">
        <v>90</v>
      </c>
      <c r="B19" s="28"/>
      <c r="C19" s="28">
        <v>4.5</v>
      </c>
      <c r="D19" s="28">
        <f>73.8-16.69-(7.94*6)</f>
        <v>9.4699999999999989</v>
      </c>
      <c r="E19" s="38">
        <v>6000</v>
      </c>
      <c r="F19" s="28">
        <f>12.3-7.94</f>
        <v>4.3600000000000003</v>
      </c>
      <c r="G19" s="38">
        <v>6001</v>
      </c>
      <c r="H19" s="28">
        <f>C19 +D19+(F19*6)</f>
        <v>40.130000000000003</v>
      </c>
      <c r="I19" s="28">
        <v>16.690000000000001</v>
      </c>
      <c r="J19" s="28">
        <v>7.94</v>
      </c>
      <c r="K19" s="28">
        <f t="shared" si="0"/>
        <v>95.28</v>
      </c>
      <c r="L19" s="28">
        <f t="shared" si="1"/>
        <v>111.97</v>
      </c>
      <c r="M19" s="28">
        <f>H19+L19</f>
        <v>152.1</v>
      </c>
      <c r="N19" s="71" t="s">
        <v>181</v>
      </c>
    </row>
    <row r="20" spans="1:14" s="18" customFormat="1" ht="45.75" customHeight="1" thickBot="1" x14ac:dyDescent="0.3">
      <c r="A20" s="34" t="s">
        <v>35</v>
      </c>
      <c r="B20" s="33"/>
      <c r="C20" s="33">
        <f>30-16.69</f>
        <v>13.309999999999999</v>
      </c>
      <c r="D20" s="33">
        <f>19.37-7.94</f>
        <v>11.43</v>
      </c>
      <c r="E20" s="35">
        <v>1000</v>
      </c>
      <c r="F20" s="33"/>
      <c r="G20" s="35"/>
      <c r="H20" s="33">
        <f>C20 +(D20*12)</f>
        <v>150.47</v>
      </c>
      <c r="I20" s="33">
        <v>16.690000000000001</v>
      </c>
      <c r="J20" s="33">
        <v>7.94</v>
      </c>
      <c r="K20" s="28">
        <f t="shared" si="0"/>
        <v>95.28</v>
      </c>
      <c r="L20" s="33">
        <f t="shared" si="1"/>
        <v>111.97</v>
      </c>
      <c r="M20" s="33">
        <f t="shared" si="2"/>
        <v>262.44</v>
      </c>
      <c r="N20" s="73" t="s">
        <v>83</v>
      </c>
    </row>
    <row r="21" spans="1:14" ht="36.75" thickBot="1" x14ac:dyDescent="0.3">
      <c r="A21" s="24" t="s">
        <v>176</v>
      </c>
      <c r="B21" s="28"/>
      <c r="C21" s="37"/>
      <c r="D21" s="28">
        <f>90.01-(7.94*3)</f>
        <v>66.19</v>
      </c>
      <c r="E21" s="38">
        <v>3000</v>
      </c>
      <c r="F21" s="28">
        <f>8.75-7.94</f>
        <v>0.80999999999999961</v>
      </c>
      <c r="G21" s="38">
        <v>3001</v>
      </c>
      <c r="H21" s="28">
        <f>(D21)+(F21*9)</f>
        <v>73.47999999999999</v>
      </c>
      <c r="I21" s="28">
        <v>16.690000000000001</v>
      </c>
      <c r="J21" s="28">
        <v>7.94</v>
      </c>
      <c r="K21" s="28">
        <f t="shared" si="0"/>
        <v>95.28</v>
      </c>
      <c r="L21" s="28">
        <f t="shared" si="1"/>
        <v>111.97</v>
      </c>
      <c r="M21" s="28">
        <f t="shared" si="2"/>
        <v>185.45</v>
      </c>
      <c r="N21" s="71" t="s">
        <v>117</v>
      </c>
    </row>
    <row r="22" spans="1:14" ht="24.75" thickBot="1" x14ac:dyDescent="0.3">
      <c r="A22" s="24" t="s">
        <v>113</v>
      </c>
      <c r="B22" s="28">
        <v>0.83333999999999997</v>
      </c>
      <c r="C22" s="56"/>
      <c r="D22" s="28">
        <v>4.5</v>
      </c>
      <c r="E22" s="38">
        <v>1000</v>
      </c>
      <c r="F22" s="24"/>
      <c r="G22" s="38"/>
      <c r="H22" s="28">
        <f>(B22*3) +(D22*12)</f>
        <v>56.500019999999999</v>
      </c>
      <c r="I22" s="28">
        <v>16.690000000000001</v>
      </c>
      <c r="J22" s="28">
        <v>7.94</v>
      </c>
      <c r="K22" s="28">
        <f t="shared" si="0"/>
        <v>95.28</v>
      </c>
      <c r="L22" s="28">
        <f t="shared" si="1"/>
        <v>111.97</v>
      </c>
      <c r="M22" s="28">
        <f t="shared" si="2"/>
        <v>168.47002000000001</v>
      </c>
      <c r="N22" s="71" t="s">
        <v>118</v>
      </c>
    </row>
    <row r="23" spans="1:14" s="18" customFormat="1" ht="71.25" customHeight="1" thickBot="1" x14ac:dyDescent="0.3">
      <c r="A23" s="43" t="s">
        <v>11</v>
      </c>
      <c r="B23" s="33"/>
      <c r="C23" s="33"/>
      <c r="D23" s="33">
        <f>8.28*3</f>
        <v>24.839999999999996</v>
      </c>
      <c r="E23" s="35">
        <v>3000</v>
      </c>
      <c r="F23" s="33">
        <v>7.43</v>
      </c>
      <c r="G23" s="35">
        <v>3001</v>
      </c>
      <c r="H23" s="33">
        <f>D23+(F23*9)</f>
        <v>91.710000000000008</v>
      </c>
      <c r="I23" s="33">
        <v>16.690000000000001</v>
      </c>
      <c r="J23" s="33">
        <v>7.94</v>
      </c>
      <c r="K23" s="28">
        <f t="shared" si="0"/>
        <v>95.28</v>
      </c>
      <c r="L23" s="33">
        <f t="shared" si="1"/>
        <v>111.97</v>
      </c>
      <c r="M23" s="33">
        <f t="shared" si="2"/>
        <v>203.68</v>
      </c>
      <c r="N23" s="75" t="s">
        <v>76</v>
      </c>
    </row>
    <row r="24" spans="1:14" s="18" customFormat="1" ht="79.5" customHeight="1" thickBot="1" x14ac:dyDescent="0.3">
      <c r="A24" s="34" t="s">
        <v>36</v>
      </c>
      <c r="B24" s="33"/>
      <c r="C24" s="33"/>
      <c r="D24" s="33">
        <v>32.200000000000003</v>
      </c>
      <c r="E24" s="35">
        <v>1870</v>
      </c>
      <c r="F24" s="39">
        <v>5.62</v>
      </c>
      <c r="G24" s="35">
        <v>6390</v>
      </c>
      <c r="H24" s="33">
        <f>D24*3 + (F24*6.39)</f>
        <v>132.51179999999999</v>
      </c>
      <c r="I24" s="33">
        <v>16.690000000000001</v>
      </c>
      <c r="J24" s="33">
        <v>7.94</v>
      </c>
      <c r="K24" s="28">
        <f t="shared" si="0"/>
        <v>95.28</v>
      </c>
      <c r="L24" s="33">
        <f t="shared" si="1"/>
        <v>111.97</v>
      </c>
      <c r="M24" s="33">
        <f>H24+L24-L24</f>
        <v>132.51179999999999</v>
      </c>
      <c r="N24" s="73" t="s">
        <v>210</v>
      </c>
    </row>
    <row r="25" spans="1:14" ht="48.75" thickBot="1" x14ac:dyDescent="0.3">
      <c r="A25" s="24" t="s">
        <v>37</v>
      </c>
      <c r="B25" s="28"/>
      <c r="C25" s="28">
        <f>(16.69*0.3)</f>
        <v>5.0070000000000006</v>
      </c>
      <c r="D25" s="28">
        <f>7.94*0.3</f>
        <v>2.3820000000000001</v>
      </c>
      <c r="E25" s="38">
        <v>1000</v>
      </c>
      <c r="F25" s="24"/>
      <c r="G25" s="38"/>
      <c r="H25" s="28">
        <f>C25 +(D25*12)</f>
        <v>33.591000000000001</v>
      </c>
      <c r="I25" s="28">
        <v>16.690000000000001</v>
      </c>
      <c r="J25" s="28">
        <v>7.94</v>
      </c>
      <c r="K25" s="28">
        <f t="shared" si="0"/>
        <v>95.28</v>
      </c>
      <c r="L25" s="28">
        <f t="shared" si="1"/>
        <v>111.97</v>
      </c>
      <c r="M25" s="28">
        <f t="shared" si="2"/>
        <v>145.56100000000001</v>
      </c>
      <c r="N25" s="71" t="s">
        <v>91</v>
      </c>
    </row>
    <row r="26" spans="1:14" s="51" customFormat="1" ht="36.75" thickBot="1" x14ac:dyDescent="0.3">
      <c r="A26" s="47" t="s">
        <v>98</v>
      </c>
      <c r="B26" s="48" t="s">
        <v>10</v>
      </c>
      <c r="C26" s="48"/>
      <c r="D26" s="48">
        <v>3.5</v>
      </c>
      <c r="E26" s="49">
        <v>1000</v>
      </c>
      <c r="F26" s="50"/>
      <c r="G26" s="49"/>
      <c r="H26" s="48">
        <f>D26*12</f>
        <v>42</v>
      </c>
      <c r="I26" s="28">
        <v>16.690000000000001</v>
      </c>
      <c r="J26" s="28">
        <v>7.94</v>
      </c>
      <c r="K26" s="28">
        <f t="shared" si="0"/>
        <v>95.28</v>
      </c>
      <c r="L26" s="28">
        <f t="shared" si="1"/>
        <v>111.97</v>
      </c>
      <c r="M26" s="48">
        <f t="shared" si="2"/>
        <v>153.97</v>
      </c>
      <c r="N26" s="74" t="s">
        <v>99</v>
      </c>
    </row>
    <row r="27" spans="1:14" s="59" customFormat="1" ht="48.75" thickBot="1" x14ac:dyDescent="0.3">
      <c r="A27" s="57" t="s">
        <v>130</v>
      </c>
      <c r="B27" s="57"/>
      <c r="C27" s="28">
        <v>18</v>
      </c>
      <c r="D27" s="28">
        <v>36</v>
      </c>
      <c r="E27" s="57">
        <v>6000</v>
      </c>
      <c r="F27" s="58">
        <v>6</v>
      </c>
      <c r="G27" s="57">
        <v>6001</v>
      </c>
      <c r="H27" s="28">
        <f>C27+ D27+(F27*6)</f>
        <v>90</v>
      </c>
      <c r="I27" s="57">
        <v>16.690000000000001</v>
      </c>
      <c r="J27" s="57">
        <v>7.94</v>
      </c>
      <c r="K27" s="28">
        <f t="shared" si="0"/>
        <v>95.28</v>
      </c>
      <c r="L27" s="57">
        <f t="shared" si="1"/>
        <v>111.97</v>
      </c>
      <c r="M27" s="79">
        <f t="shared" si="2"/>
        <v>201.97</v>
      </c>
      <c r="N27" s="76" t="s">
        <v>131</v>
      </c>
    </row>
    <row r="28" spans="1:14" s="53" customFormat="1" ht="36.75" thickBot="1" x14ac:dyDescent="0.3">
      <c r="A28" s="52" t="s">
        <v>120</v>
      </c>
      <c r="B28" s="52"/>
      <c r="C28" s="52"/>
      <c r="D28" s="52">
        <v>2.5</v>
      </c>
      <c r="E28" s="54">
        <v>1000</v>
      </c>
      <c r="F28" s="52"/>
      <c r="G28" s="52"/>
      <c r="H28" s="55">
        <f>C28 +(D28*12)</f>
        <v>30</v>
      </c>
      <c r="I28" s="55">
        <v>16.690000000000001</v>
      </c>
      <c r="J28" s="55">
        <v>7.94</v>
      </c>
      <c r="K28" s="28">
        <f t="shared" si="0"/>
        <v>95.28</v>
      </c>
      <c r="L28" s="55">
        <f t="shared" si="1"/>
        <v>111.97</v>
      </c>
      <c r="M28" s="55">
        <f t="shared" si="2"/>
        <v>141.97</v>
      </c>
      <c r="N28" s="77" t="s">
        <v>119</v>
      </c>
    </row>
    <row r="29" spans="1:14" ht="74.25" customHeight="1" thickBot="1" x14ac:dyDescent="0.3">
      <c r="A29" s="24" t="s">
        <v>25</v>
      </c>
      <c r="B29" s="28"/>
      <c r="C29" s="28">
        <f>22-16.69</f>
        <v>5.3099999999999987</v>
      </c>
      <c r="D29" s="28">
        <f>11-7.94</f>
        <v>3.0599999999999996</v>
      </c>
      <c r="E29" s="38">
        <v>1000</v>
      </c>
      <c r="F29" s="28"/>
      <c r="G29" s="38"/>
      <c r="H29" s="28">
        <f>C29 +(D29*12)</f>
        <v>42.03</v>
      </c>
      <c r="I29" s="28">
        <v>16.690000000000001</v>
      </c>
      <c r="J29" s="28">
        <v>7.94</v>
      </c>
      <c r="K29" s="28">
        <f t="shared" si="0"/>
        <v>95.28</v>
      </c>
      <c r="L29" s="28">
        <f t="shared" si="1"/>
        <v>111.97</v>
      </c>
      <c r="M29" s="28">
        <f t="shared" si="2"/>
        <v>154</v>
      </c>
      <c r="N29" s="71" t="s">
        <v>132</v>
      </c>
    </row>
    <row r="30" spans="1:14" ht="65.25" customHeight="1" thickBot="1" x14ac:dyDescent="0.3">
      <c r="A30" s="24" t="s">
        <v>20</v>
      </c>
      <c r="B30" s="28"/>
      <c r="C30" s="28"/>
      <c r="D30" s="28">
        <f>125.9-16.69-(7.94*10)</f>
        <v>29.810000000000002</v>
      </c>
      <c r="E30" s="38">
        <v>10000</v>
      </c>
      <c r="F30" s="28">
        <v>1.5</v>
      </c>
      <c r="G30" s="38">
        <v>10001</v>
      </c>
      <c r="H30" s="28">
        <f>D30+(F30*2)</f>
        <v>32.81</v>
      </c>
      <c r="I30" s="28">
        <v>16.690000000000001</v>
      </c>
      <c r="J30" s="28">
        <v>7.94</v>
      </c>
      <c r="K30" s="28">
        <f t="shared" si="0"/>
        <v>95.28</v>
      </c>
      <c r="L30" s="28">
        <f t="shared" si="1"/>
        <v>111.97</v>
      </c>
      <c r="M30" s="28">
        <f t="shared" si="2"/>
        <v>144.78</v>
      </c>
      <c r="N30" s="71" t="s">
        <v>165</v>
      </c>
    </row>
    <row r="31" spans="1:14" ht="48.75" thickBot="1" x14ac:dyDescent="0.3">
      <c r="A31" s="24" t="s">
        <v>109</v>
      </c>
      <c r="B31" s="28"/>
      <c r="C31" s="28"/>
      <c r="D31" s="28">
        <v>5</v>
      </c>
      <c r="E31" s="38">
        <v>1000</v>
      </c>
      <c r="F31" s="28">
        <v>2.5</v>
      </c>
      <c r="G31" s="38">
        <v>2001</v>
      </c>
      <c r="H31" s="28">
        <f>C31 +D31 +(F31*11)</f>
        <v>32.5</v>
      </c>
      <c r="I31" s="28">
        <v>16.690000000000001</v>
      </c>
      <c r="J31" s="28">
        <v>7.94</v>
      </c>
      <c r="K31" s="28">
        <f t="shared" si="0"/>
        <v>95.28</v>
      </c>
      <c r="L31" s="28">
        <f t="shared" si="1"/>
        <v>111.97</v>
      </c>
      <c r="M31" s="28">
        <f t="shared" si="2"/>
        <v>144.47</v>
      </c>
      <c r="N31" s="71" t="s">
        <v>108</v>
      </c>
    </row>
    <row r="32" spans="1:14" ht="35.25" customHeight="1" thickBot="1" x14ac:dyDescent="0.3">
      <c r="A32" s="24" t="s">
        <v>39</v>
      </c>
      <c r="B32" s="28"/>
      <c r="C32" s="28"/>
      <c r="D32" s="28">
        <v>1.75</v>
      </c>
      <c r="E32" s="38">
        <v>1000</v>
      </c>
      <c r="F32" s="24"/>
      <c r="G32" s="38"/>
      <c r="H32" s="28">
        <f>C32 +(D32*12)</f>
        <v>21</v>
      </c>
      <c r="I32" s="28">
        <v>16.690000000000001</v>
      </c>
      <c r="J32" s="28">
        <v>7.94</v>
      </c>
      <c r="K32" s="28">
        <f t="shared" si="0"/>
        <v>95.28</v>
      </c>
      <c r="L32" s="28">
        <f t="shared" si="1"/>
        <v>111.97</v>
      </c>
      <c r="M32" s="28">
        <f t="shared" si="2"/>
        <v>132.97</v>
      </c>
      <c r="N32" s="71" t="s">
        <v>121</v>
      </c>
    </row>
    <row r="33" spans="1:14" ht="24.75" thickBot="1" x14ac:dyDescent="0.3">
      <c r="A33" s="24" t="s">
        <v>122</v>
      </c>
      <c r="B33" s="28"/>
      <c r="C33" s="28"/>
      <c r="D33" s="28">
        <v>3</v>
      </c>
      <c r="E33" s="38">
        <v>1000</v>
      </c>
      <c r="F33" s="24"/>
      <c r="G33" s="38"/>
      <c r="H33" s="28">
        <f>C33 +(D33*12)</f>
        <v>36</v>
      </c>
      <c r="I33" s="28">
        <v>16.690000000000001</v>
      </c>
      <c r="J33" s="28">
        <v>7.94</v>
      </c>
      <c r="K33" s="28">
        <f t="shared" si="0"/>
        <v>95.28</v>
      </c>
      <c r="L33" s="28">
        <f t="shared" si="1"/>
        <v>111.97</v>
      </c>
      <c r="M33" s="28">
        <f t="shared" si="2"/>
        <v>147.97</v>
      </c>
      <c r="N33" s="71" t="s">
        <v>123</v>
      </c>
    </row>
    <row r="34" spans="1:14" x14ac:dyDescent="0.25">
      <c r="A34" s="7"/>
      <c r="B34" s="7"/>
      <c r="C34" s="7"/>
      <c r="D34" s="7"/>
      <c r="E34" s="7"/>
      <c r="F34" s="7"/>
      <c r="G34" s="7"/>
      <c r="H34" s="7"/>
      <c r="I34" s="7"/>
      <c r="J34" s="7"/>
      <c r="K34" s="7"/>
      <c r="L34" s="7"/>
      <c r="M34" s="7"/>
      <c r="N34" s="20"/>
    </row>
    <row r="35" spans="1:14" ht="60" x14ac:dyDescent="0.25">
      <c r="A35" s="12" t="s">
        <v>12</v>
      </c>
      <c r="B35" s="7" t="s">
        <v>53</v>
      </c>
      <c r="C35" s="7"/>
      <c r="D35" s="7"/>
      <c r="E35" s="7"/>
      <c r="F35" s="7"/>
      <c r="G35" s="7"/>
      <c r="H35" s="7"/>
      <c r="I35" s="7"/>
      <c r="J35" s="7"/>
      <c r="K35" s="7"/>
      <c r="L35" s="7"/>
      <c r="M35" s="7"/>
      <c r="N35" s="20" t="s">
        <v>204</v>
      </c>
    </row>
    <row r="36" spans="1:14" x14ac:dyDescent="0.25">
      <c r="A36" s="7"/>
      <c r="B36" s="7"/>
      <c r="C36" s="7"/>
      <c r="D36" s="7"/>
      <c r="E36" s="7"/>
      <c r="F36" s="7"/>
      <c r="G36" s="7"/>
      <c r="H36" s="7"/>
      <c r="I36" s="7"/>
      <c r="J36" s="7"/>
      <c r="K36" s="7"/>
      <c r="L36" s="7"/>
      <c r="M36" s="7"/>
      <c r="N36" s="20"/>
    </row>
    <row r="37" spans="1:14" x14ac:dyDescent="0.25">
      <c r="A37" s="7"/>
      <c r="B37" s="7" t="s">
        <v>38</v>
      </c>
      <c r="C37" s="7"/>
      <c r="D37" s="7"/>
      <c r="E37" s="7"/>
      <c r="F37" s="7"/>
      <c r="G37" s="7"/>
      <c r="H37" s="7"/>
      <c r="I37" s="7"/>
      <c r="J37" s="7"/>
      <c r="K37" s="7"/>
      <c r="L37" s="7"/>
      <c r="M37" s="7"/>
      <c r="N37" s="21"/>
    </row>
    <row r="38" spans="1:14" x14ac:dyDescent="0.25">
      <c r="A38" s="7"/>
      <c r="B38" s="7"/>
      <c r="C38" s="7"/>
      <c r="D38" s="7"/>
      <c r="E38" s="7"/>
      <c r="F38" s="7"/>
      <c r="G38" s="7"/>
      <c r="H38" s="7"/>
      <c r="I38" s="7"/>
      <c r="J38" s="7"/>
      <c r="K38" s="7"/>
      <c r="L38" s="7"/>
      <c r="M38" s="7"/>
      <c r="N38" s="20"/>
    </row>
    <row r="39" spans="1:14" x14ac:dyDescent="0.25">
      <c r="B39" s="5" t="s">
        <v>203</v>
      </c>
    </row>
    <row r="41" spans="1:14" x14ac:dyDescent="0.25">
      <c r="B41" s="67"/>
    </row>
  </sheetData>
  <sheetProtection formatCells="0" formatColumns="0" formatRows="0"/>
  <pageMargins left="0.7" right="0.7" top="0.75" bottom="0.75" header="0.3" footer="0.3"/>
  <pageSetup paperSize="17" fitToHeight="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R38"/>
  <sheetViews>
    <sheetView topLeftCell="A13" zoomScaleNormal="100" workbookViewId="0">
      <selection activeCell="N13" sqref="N1:N1048576"/>
    </sheetView>
  </sheetViews>
  <sheetFormatPr defaultColWidth="9.140625" defaultRowHeight="15" x14ac:dyDescent="0.25"/>
  <cols>
    <col min="1" max="1" width="26.5703125" style="5" customWidth="1"/>
    <col min="2" max="2" width="9" style="5" customWidth="1"/>
    <col min="3" max="3" width="10.28515625" style="5" customWidth="1"/>
    <col min="4" max="4" width="8.7109375" style="5" customWidth="1"/>
    <col min="5" max="5" width="10" style="5" customWidth="1"/>
    <col min="6" max="6" width="7.42578125" style="5" customWidth="1"/>
    <col min="7" max="7" width="7.5703125" style="5" customWidth="1"/>
    <col min="8" max="8" width="14.7109375" style="5" customWidth="1"/>
    <col min="9" max="10" width="10.7109375" style="5" customWidth="1"/>
    <col min="11" max="11" width="16.42578125" style="5" customWidth="1"/>
    <col min="12" max="12" width="18.85546875" style="5" customWidth="1"/>
    <col min="13" max="13" width="15.85546875" style="5" customWidth="1"/>
    <col min="14" max="14" width="67.5703125" style="62" hidden="1" customWidth="1"/>
    <col min="15" max="15" width="15.85546875" style="5" customWidth="1"/>
    <col min="16" max="17" width="9.140625" style="5"/>
    <col min="18" max="18" width="13.85546875" style="5" customWidth="1"/>
    <col min="19" max="16384" width="9.140625" style="5"/>
  </cols>
  <sheetData>
    <row r="1" spans="1:18" ht="18.75" x14ac:dyDescent="0.3">
      <c r="A1" s="10" t="s">
        <v>57</v>
      </c>
    </row>
    <row r="2" spans="1:18" ht="15.75" x14ac:dyDescent="0.25">
      <c r="A2" s="11" t="s">
        <v>13</v>
      </c>
      <c r="L2" s="8"/>
    </row>
    <row r="3" spans="1:18" x14ac:dyDescent="0.25">
      <c r="A3" s="5" t="s">
        <v>55</v>
      </c>
      <c r="B3" s="3"/>
    </row>
    <row r="4" spans="1:18" x14ac:dyDescent="0.25">
      <c r="A4" s="5" t="s">
        <v>205</v>
      </c>
      <c r="C4" s="3"/>
      <c r="D4" s="3"/>
    </row>
    <row r="5" spans="1:18" ht="15.75" thickBot="1" x14ac:dyDescent="0.3">
      <c r="C5" s="3"/>
      <c r="D5" s="3"/>
    </row>
    <row r="6" spans="1:18" ht="36.75" customHeight="1" thickBot="1" x14ac:dyDescent="0.3">
      <c r="A6" s="23" t="s">
        <v>47</v>
      </c>
      <c r="B6" s="24" t="s">
        <v>1</v>
      </c>
      <c r="C6" s="24"/>
      <c r="D6" s="24" t="s">
        <v>31</v>
      </c>
      <c r="E6" s="24"/>
      <c r="F6" s="24" t="s">
        <v>2</v>
      </c>
      <c r="G6" s="24"/>
      <c r="H6" s="23" t="s">
        <v>50</v>
      </c>
      <c r="I6" s="23" t="s">
        <v>43</v>
      </c>
      <c r="J6" s="23" t="s">
        <v>44</v>
      </c>
      <c r="K6" s="23" t="s">
        <v>3</v>
      </c>
      <c r="L6" s="23" t="s">
        <v>51</v>
      </c>
      <c r="M6" s="23" t="s">
        <v>49</v>
      </c>
      <c r="N6" s="63" t="s">
        <v>62</v>
      </c>
    </row>
    <row r="7" spans="1:18" ht="30.75" thickBot="1" x14ac:dyDescent="0.3">
      <c r="A7" s="26"/>
      <c r="B7" s="24" t="s">
        <v>4</v>
      </c>
      <c r="C7" s="24" t="s">
        <v>5</v>
      </c>
      <c r="D7" s="24" t="s">
        <v>6</v>
      </c>
      <c r="E7" s="24" t="s">
        <v>7</v>
      </c>
      <c r="F7" s="24" t="s">
        <v>6</v>
      </c>
      <c r="G7" s="24" t="s">
        <v>8</v>
      </c>
      <c r="H7" s="27" t="s">
        <v>206</v>
      </c>
      <c r="I7" s="27" t="s">
        <v>9</v>
      </c>
      <c r="J7" s="27" t="s">
        <v>45</v>
      </c>
      <c r="K7" s="27" t="s">
        <v>207</v>
      </c>
      <c r="L7" s="27" t="s">
        <v>207</v>
      </c>
      <c r="M7" s="27" t="s">
        <v>52</v>
      </c>
      <c r="N7" s="64"/>
      <c r="O7" s="6"/>
      <c r="P7" s="6"/>
      <c r="Q7" s="6"/>
      <c r="R7" s="6"/>
    </row>
    <row r="8" spans="1:18" ht="72.75" thickBot="1" x14ac:dyDescent="0.3">
      <c r="A8" s="24" t="s">
        <v>40</v>
      </c>
      <c r="B8" s="28"/>
      <c r="C8" s="28"/>
      <c r="D8" s="28">
        <v>2.5</v>
      </c>
      <c r="E8" s="38">
        <v>1000</v>
      </c>
      <c r="F8" s="28"/>
      <c r="G8" s="38"/>
      <c r="H8" s="28">
        <f>(C8)+(D8*12)</f>
        <v>30</v>
      </c>
      <c r="I8" s="28">
        <v>16.690000000000001</v>
      </c>
      <c r="J8" s="28">
        <v>7.94</v>
      </c>
      <c r="K8" s="28">
        <f>7.94*12</f>
        <v>95.28</v>
      </c>
      <c r="L8" s="28">
        <f>I8+K8</f>
        <v>111.97</v>
      </c>
      <c r="M8" s="28">
        <f t="shared" ref="M8:M34" si="0">H8+L8</f>
        <v>141.97</v>
      </c>
      <c r="N8" s="60" t="s">
        <v>143</v>
      </c>
      <c r="O8" s="8"/>
      <c r="P8" s="8"/>
      <c r="Q8" s="8"/>
      <c r="R8" s="8"/>
    </row>
    <row r="9" spans="1:18" ht="24.75" thickBot="1" x14ac:dyDescent="0.3">
      <c r="A9" s="24" t="s">
        <v>177</v>
      </c>
      <c r="B9" s="28"/>
      <c r="C9" s="28">
        <v>9.9499999999999993</v>
      </c>
      <c r="D9" s="28">
        <v>2.1</v>
      </c>
      <c r="E9" s="38">
        <v>1000</v>
      </c>
      <c r="F9" s="28"/>
      <c r="G9" s="38"/>
      <c r="H9" s="28">
        <f>(C9)+(D9*12)</f>
        <v>35.150000000000006</v>
      </c>
      <c r="I9" s="28">
        <v>16.690000000000001</v>
      </c>
      <c r="J9" s="28">
        <v>7.94</v>
      </c>
      <c r="K9" s="28">
        <f t="shared" ref="K9:K34" si="1">7.94*12</f>
        <v>95.28</v>
      </c>
      <c r="L9" s="28">
        <f t="shared" ref="L9:L21" si="2">I9+K9</f>
        <v>111.97</v>
      </c>
      <c r="M9" s="28">
        <f t="shared" si="0"/>
        <v>147.12</v>
      </c>
      <c r="N9" s="60" t="s">
        <v>103</v>
      </c>
      <c r="O9" s="8"/>
      <c r="P9" s="8"/>
      <c r="Q9" s="8"/>
      <c r="R9" s="8"/>
    </row>
    <row r="10" spans="1:18" ht="36.75" thickBot="1" x14ac:dyDescent="0.3">
      <c r="A10" s="24" t="s">
        <v>134</v>
      </c>
      <c r="B10" s="28"/>
      <c r="C10" s="28">
        <v>2</v>
      </c>
      <c r="D10" s="28">
        <v>2.5</v>
      </c>
      <c r="E10" s="38">
        <v>1000</v>
      </c>
      <c r="F10" s="28" t="s">
        <v>10</v>
      </c>
      <c r="G10" s="38" t="s">
        <v>10</v>
      </c>
      <c r="H10" s="28">
        <f>(C10)+(D10*12)</f>
        <v>32</v>
      </c>
      <c r="I10" s="28">
        <v>16.690000000000001</v>
      </c>
      <c r="J10" s="28">
        <v>7.94</v>
      </c>
      <c r="K10" s="28">
        <f t="shared" si="1"/>
        <v>95.28</v>
      </c>
      <c r="L10" s="28">
        <f t="shared" si="2"/>
        <v>111.97</v>
      </c>
      <c r="M10" s="28">
        <f t="shared" si="0"/>
        <v>143.97</v>
      </c>
      <c r="N10" s="60" t="s">
        <v>133</v>
      </c>
      <c r="O10" s="8"/>
      <c r="P10" s="8"/>
      <c r="Q10" s="8"/>
      <c r="R10" s="8"/>
    </row>
    <row r="11" spans="1:18" ht="36.75" thickBot="1" x14ac:dyDescent="0.3">
      <c r="A11" s="24" t="s">
        <v>178</v>
      </c>
      <c r="B11" s="28"/>
      <c r="C11" s="28"/>
      <c r="D11" s="28">
        <v>0</v>
      </c>
      <c r="E11" s="38">
        <v>1000</v>
      </c>
      <c r="F11" s="28"/>
      <c r="G11" s="38"/>
      <c r="H11" s="28">
        <f>(C11)+(D11*12)</f>
        <v>0</v>
      </c>
      <c r="I11" s="28">
        <v>16.690000000000001</v>
      </c>
      <c r="J11" s="28">
        <v>7.94</v>
      </c>
      <c r="K11" s="28">
        <f t="shared" si="1"/>
        <v>95.28</v>
      </c>
      <c r="L11" s="28">
        <f t="shared" si="2"/>
        <v>111.97</v>
      </c>
      <c r="M11" s="28">
        <f t="shared" si="0"/>
        <v>111.97</v>
      </c>
      <c r="N11" s="60" t="s">
        <v>144</v>
      </c>
      <c r="O11" s="8"/>
      <c r="P11" s="8"/>
      <c r="Q11" s="8"/>
      <c r="R11" s="8"/>
    </row>
    <row r="12" spans="1:18" ht="24.75" thickBot="1" x14ac:dyDescent="0.3">
      <c r="A12" s="24" t="s">
        <v>145</v>
      </c>
      <c r="B12" s="28"/>
      <c r="C12" s="28"/>
      <c r="D12" s="28">
        <v>5</v>
      </c>
      <c r="E12" s="38">
        <v>1000</v>
      </c>
      <c r="F12" s="28"/>
      <c r="G12" s="38"/>
      <c r="H12" s="28">
        <f>(C12)+(D12*12)</f>
        <v>60</v>
      </c>
      <c r="I12" s="28">
        <v>16.690000000000001</v>
      </c>
      <c r="J12" s="28">
        <v>7.94</v>
      </c>
      <c r="K12" s="28">
        <f t="shared" si="1"/>
        <v>95.28</v>
      </c>
      <c r="L12" s="28">
        <f t="shared" si="2"/>
        <v>111.97</v>
      </c>
      <c r="M12" s="28">
        <f t="shared" si="0"/>
        <v>171.97</v>
      </c>
      <c r="N12" s="60" t="s">
        <v>182</v>
      </c>
      <c r="O12" s="8"/>
      <c r="P12" s="8"/>
      <c r="Q12" s="8"/>
      <c r="R12" s="8"/>
    </row>
    <row r="13" spans="1:18" ht="64.5" customHeight="1" thickBot="1" x14ac:dyDescent="0.3">
      <c r="A13" s="24" t="s">
        <v>41</v>
      </c>
      <c r="B13" s="28"/>
      <c r="C13" s="28">
        <f>45</f>
        <v>45</v>
      </c>
      <c r="D13" s="28">
        <f>26.69-16.69-7.94</f>
        <v>2.0599999999999996</v>
      </c>
      <c r="E13" s="38">
        <v>1000</v>
      </c>
      <c r="F13" s="28">
        <f>10-7.94</f>
        <v>2.0599999999999996</v>
      </c>
      <c r="G13" s="38">
        <v>1001</v>
      </c>
      <c r="H13" s="28">
        <f>(C13)+D13 +(F13*12)</f>
        <v>71.78</v>
      </c>
      <c r="I13" s="28">
        <v>16.690000000000001</v>
      </c>
      <c r="J13" s="28">
        <v>7.94</v>
      </c>
      <c r="K13" s="28">
        <f t="shared" si="1"/>
        <v>95.28</v>
      </c>
      <c r="L13" s="28">
        <f t="shared" si="2"/>
        <v>111.97</v>
      </c>
      <c r="M13" s="28">
        <f>H13+L13</f>
        <v>183.75</v>
      </c>
      <c r="N13" s="60" t="s">
        <v>163</v>
      </c>
      <c r="O13" s="8"/>
      <c r="P13" s="8"/>
      <c r="Q13" s="8"/>
      <c r="R13" s="8"/>
    </row>
    <row r="14" spans="1:18" ht="69" customHeight="1" thickBot="1" x14ac:dyDescent="0.3">
      <c r="A14" s="24" t="s">
        <v>146</v>
      </c>
      <c r="B14" s="28"/>
      <c r="C14" s="28">
        <f>18.69-16.69</f>
        <v>2</v>
      </c>
      <c r="D14" s="28">
        <f>13.29-7.94</f>
        <v>5.3499999999999988</v>
      </c>
      <c r="E14" s="38">
        <v>1000</v>
      </c>
      <c r="F14" s="28" t="s">
        <v>10</v>
      </c>
      <c r="G14" s="38" t="s">
        <v>10</v>
      </c>
      <c r="H14" s="28">
        <f>(C14)+(D14*12)</f>
        <v>66.199999999999989</v>
      </c>
      <c r="I14" s="28">
        <v>16.690000000000001</v>
      </c>
      <c r="J14" s="28">
        <v>7.94</v>
      </c>
      <c r="K14" s="28">
        <f t="shared" si="1"/>
        <v>95.28</v>
      </c>
      <c r="L14" s="28">
        <f t="shared" si="2"/>
        <v>111.97</v>
      </c>
      <c r="M14" s="28">
        <f t="shared" si="0"/>
        <v>178.17</v>
      </c>
      <c r="N14" s="60" t="s">
        <v>147</v>
      </c>
      <c r="O14" s="8"/>
      <c r="P14" s="8"/>
      <c r="Q14" s="8"/>
      <c r="R14" s="8"/>
    </row>
    <row r="15" spans="1:18" ht="36.75" customHeight="1" thickBot="1" x14ac:dyDescent="0.3">
      <c r="A15" s="34" t="s">
        <v>23</v>
      </c>
      <c r="B15" s="33">
        <v>8.91</v>
      </c>
      <c r="C15" s="33"/>
      <c r="D15" s="33">
        <v>4.03</v>
      </c>
      <c r="E15" s="35">
        <v>1000</v>
      </c>
      <c r="F15" s="33"/>
      <c r="G15" s="35"/>
      <c r="H15" s="33">
        <f>(B15*3)+(D15*12)</f>
        <v>75.09</v>
      </c>
      <c r="I15" s="33">
        <v>16.690000000000001</v>
      </c>
      <c r="J15" s="33">
        <v>7.94</v>
      </c>
      <c r="K15" s="28">
        <f t="shared" si="1"/>
        <v>95.28</v>
      </c>
      <c r="L15" s="33">
        <f t="shared" si="2"/>
        <v>111.97</v>
      </c>
      <c r="M15" s="33">
        <f t="shared" si="0"/>
        <v>187.06</v>
      </c>
      <c r="N15" s="61" t="s">
        <v>82</v>
      </c>
      <c r="O15" s="8"/>
      <c r="P15" s="8"/>
      <c r="Q15" s="8"/>
      <c r="R15" s="8"/>
    </row>
    <row r="16" spans="1:18" ht="46.5" customHeight="1" thickBot="1" x14ac:dyDescent="0.3">
      <c r="A16" s="24" t="s">
        <v>137</v>
      </c>
      <c r="B16" s="28"/>
      <c r="C16" s="28">
        <v>60</v>
      </c>
      <c r="D16" s="28">
        <v>4.66</v>
      </c>
      <c r="E16" s="38">
        <v>1000</v>
      </c>
      <c r="F16" s="28" t="s">
        <v>10</v>
      </c>
      <c r="G16" s="38" t="s">
        <v>10</v>
      </c>
      <c r="H16" s="28">
        <f t="shared" ref="H16:H22" si="3">(C16)+(D16*12)</f>
        <v>115.92</v>
      </c>
      <c r="I16" s="28">
        <v>16.690000000000001</v>
      </c>
      <c r="J16" s="28">
        <v>7.94</v>
      </c>
      <c r="K16" s="28">
        <f t="shared" si="1"/>
        <v>95.28</v>
      </c>
      <c r="L16" s="28">
        <f t="shared" si="2"/>
        <v>111.97</v>
      </c>
      <c r="M16" s="28">
        <f t="shared" si="0"/>
        <v>227.89</v>
      </c>
      <c r="N16" s="60" t="s">
        <v>136</v>
      </c>
      <c r="O16" s="8"/>
      <c r="P16" s="8"/>
      <c r="Q16" s="8"/>
      <c r="R16" s="8"/>
    </row>
    <row r="17" spans="1:18" ht="81.75" customHeight="1" thickBot="1" x14ac:dyDescent="0.3">
      <c r="A17" s="34" t="s">
        <v>69</v>
      </c>
      <c r="B17" s="33"/>
      <c r="C17" s="33">
        <f>21.25-16.69</f>
        <v>4.5599999999999987</v>
      </c>
      <c r="D17" s="33">
        <f>7.4-7.94</f>
        <v>-0.54</v>
      </c>
      <c r="E17" s="35">
        <v>1000</v>
      </c>
      <c r="F17" s="33"/>
      <c r="G17" s="35"/>
      <c r="H17" s="33">
        <f t="shared" si="3"/>
        <v>-1.9200000000000017</v>
      </c>
      <c r="I17" s="33">
        <v>16.690000000000001</v>
      </c>
      <c r="J17" s="33">
        <v>7.94</v>
      </c>
      <c r="K17" s="28">
        <f t="shared" si="1"/>
        <v>95.28</v>
      </c>
      <c r="L17" s="33">
        <f t="shared" si="2"/>
        <v>111.97</v>
      </c>
      <c r="M17" s="33">
        <f t="shared" si="0"/>
        <v>110.05</v>
      </c>
      <c r="N17" s="61" t="s">
        <v>152</v>
      </c>
      <c r="O17" s="8"/>
      <c r="P17" s="8"/>
      <c r="Q17" s="8"/>
      <c r="R17" s="8"/>
    </row>
    <row r="18" spans="1:18" ht="91.5" customHeight="1" thickBot="1" x14ac:dyDescent="0.3">
      <c r="A18" s="24" t="s">
        <v>26</v>
      </c>
      <c r="B18" s="28"/>
      <c r="C18" s="28">
        <v>75</v>
      </c>
      <c r="D18" s="28">
        <v>2.25</v>
      </c>
      <c r="E18" s="38">
        <v>1000</v>
      </c>
      <c r="F18" s="28"/>
      <c r="G18" s="38"/>
      <c r="H18" s="28">
        <f t="shared" si="3"/>
        <v>102</v>
      </c>
      <c r="I18" s="28">
        <v>16.690000000000001</v>
      </c>
      <c r="J18" s="28">
        <v>7.94</v>
      </c>
      <c r="K18" s="28">
        <f t="shared" si="1"/>
        <v>95.28</v>
      </c>
      <c r="L18" s="28">
        <f t="shared" si="2"/>
        <v>111.97</v>
      </c>
      <c r="M18" s="28">
        <f>H18+L18</f>
        <v>213.97</v>
      </c>
      <c r="N18" s="60" t="s">
        <v>149</v>
      </c>
      <c r="O18" s="8"/>
      <c r="P18" s="8"/>
      <c r="Q18" s="8"/>
      <c r="R18" s="8"/>
    </row>
    <row r="19" spans="1:18" ht="82.5" customHeight="1" thickBot="1" x14ac:dyDescent="0.3">
      <c r="A19" s="24" t="s">
        <v>27</v>
      </c>
      <c r="B19" s="28"/>
      <c r="C19" s="28">
        <v>50</v>
      </c>
      <c r="D19" s="28">
        <v>2.25</v>
      </c>
      <c r="E19" s="38">
        <v>1000</v>
      </c>
      <c r="F19" s="28"/>
      <c r="G19" s="38"/>
      <c r="H19" s="28">
        <f t="shared" si="3"/>
        <v>77</v>
      </c>
      <c r="I19" s="28">
        <v>16.690000000000001</v>
      </c>
      <c r="J19" s="28">
        <v>7.94</v>
      </c>
      <c r="K19" s="28">
        <f t="shared" si="1"/>
        <v>95.28</v>
      </c>
      <c r="L19" s="28">
        <f t="shared" si="2"/>
        <v>111.97</v>
      </c>
      <c r="M19" s="28">
        <f t="shared" si="0"/>
        <v>188.97</v>
      </c>
      <c r="N19" s="60" t="s">
        <v>150</v>
      </c>
      <c r="O19" s="8"/>
      <c r="P19" s="8"/>
      <c r="Q19" s="8"/>
      <c r="R19" s="8"/>
    </row>
    <row r="20" spans="1:18" ht="149.25" customHeight="1" thickBot="1" x14ac:dyDescent="0.3">
      <c r="A20" s="24" t="s">
        <v>148</v>
      </c>
      <c r="B20" s="28"/>
      <c r="C20" s="28"/>
      <c r="D20" s="28">
        <v>2.25</v>
      </c>
      <c r="E20" s="38">
        <v>1000</v>
      </c>
      <c r="F20" s="28"/>
      <c r="G20" s="38"/>
      <c r="H20" s="28">
        <f t="shared" si="3"/>
        <v>27</v>
      </c>
      <c r="I20" s="28">
        <v>16.690000000000001</v>
      </c>
      <c r="J20" s="28">
        <v>7.94</v>
      </c>
      <c r="K20" s="28">
        <f t="shared" si="1"/>
        <v>95.28</v>
      </c>
      <c r="L20" s="28">
        <f t="shared" si="2"/>
        <v>111.97</v>
      </c>
      <c r="M20" s="28">
        <f t="shared" si="0"/>
        <v>138.97</v>
      </c>
      <c r="N20" s="60" t="s">
        <v>151</v>
      </c>
      <c r="O20" s="8"/>
      <c r="P20" s="8"/>
      <c r="Q20" s="8"/>
      <c r="R20" s="8"/>
    </row>
    <row r="21" spans="1:18" ht="52.5" customHeight="1" thickBot="1" x14ac:dyDescent="0.3">
      <c r="A21" s="24" t="s">
        <v>183</v>
      </c>
      <c r="B21" s="28"/>
      <c r="C21" s="28">
        <f>18.69-16.69</f>
        <v>2</v>
      </c>
      <c r="D21" s="28">
        <f>11.94-7.94</f>
        <v>3.9999999999999991</v>
      </c>
      <c r="E21" s="38">
        <v>1000</v>
      </c>
      <c r="F21" s="28"/>
      <c r="G21" s="38"/>
      <c r="H21" s="28">
        <f t="shared" si="3"/>
        <v>49.999999999999986</v>
      </c>
      <c r="I21" s="28">
        <v>16.690000000000001</v>
      </c>
      <c r="J21" s="28">
        <v>7.94</v>
      </c>
      <c r="K21" s="28">
        <f t="shared" si="1"/>
        <v>95.28</v>
      </c>
      <c r="L21" s="28">
        <f t="shared" si="2"/>
        <v>111.97</v>
      </c>
      <c r="M21" s="28">
        <f t="shared" si="0"/>
        <v>161.96999999999997</v>
      </c>
      <c r="N21" s="66" t="s">
        <v>184</v>
      </c>
      <c r="O21" s="8"/>
      <c r="P21" s="8"/>
      <c r="Q21" s="8"/>
      <c r="R21" s="8"/>
    </row>
    <row r="22" spans="1:18" ht="87" customHeight="1" thickBot="1" x14ac:dyDescent="0.3">
      <c r="A22" s="34" t="s">
        <v>30</v>
      </c>
      <c r="B22" s="33"/>
      <c r="C22" s="33">
        <f>21.25-16.69</f>
        <v>4.5599999999999987</v>
      </c>
      <c r="D22" s="33">
        <f>7.4-7.94</f>
        <v>-0.54</v>
      </c>
      <c r="E22" s="35">
        <v>1000</v>
      </c>
      <c r="F22" s="33"/>
      <c r="G22" s="35"/>
      <c r="H22" s="33">
        <f t="shared" si="3"/>
        <v>-1.9200000000000017</v>
      </c>
      <c r="I22" s="33">
        <v>16.690000000000001</v>
      </c>
      <c r="J22" s="33">
        <v>7.94</v>
      </c>
      <c r="K22" s="28">
        <f t="shared" si="1"/>
        <v>95.28</v>
      </c>
      <c r="L22" s="33">
        <f>I22+K22</f>
        <v>111.97</v>
      </c>
      <c r="M22" s="33">
        <f t="shared" si="0"/>
        <v>110.05</v>
      </c>
      <c r="N22" s="61" t="s">
        <v>70</v>
      </c>
      <c r="O22" s="8"/>
      <c r="P22" s="8"/>
      <c r="Q22" s="8"/>
      <c r="R22" s="8"/>
    </row>
    <row r="23" spans="1:18" ht="171" customHeight="1" thickBot="1" x14ac:dyDescent="0.3">
      <c r="A23" s="24" t="s">
        <v>185</v>
      </c>
      <c r="B23" s="28">
        <f>6.36-5.56</f>
        <v>0.80000000000000071</v>
      </c>
      <c r="C23" s="28"/>
      <c r="D23" s="28">
        <v>13.5</v>
      </c>
      <c r="E23" s="38">
        <v>5000</v>
      </c>
      <c r="F23" s="28">
        <f>14.19-7.94</f>
        <v>6.2499999999999991</v>
      </c>
      <c r="G23" s="38">
        <v>5001</v>
      </c>
      <c r="H23" s="28">
        <f>(B23*3)+D23+(F23*7)</f>
        <v>59.649999999999991</v>
      </c>
      <c r="I23" s="28">
        <v>16.690000000000001</v>
      </c>
      <c r="J23" s="28">
        <v>7.94</v>
      </c>
      <c r="K23" s="28">
        <f t="shared" si="1"/>
        <v>95.28</v>
      </c>
      <c r="L23" s="28">
        <f t="shared" ref="L23:L34" si="4">I23+K23</f>
        <v>111.97</v>
      </c>
      <c r="M23" s="28">
        <f>H23+L23</f>
        <v>171.62</v>
      </c>
      <c r="N23" s="60" t="s">
        <v>199</v>
      </c>
      <c r="O23" s="8"/>
      <c r="P23" s="8"/>
      <c r="Q23" s="8"/>
      <c r="R23" s="8"/>
    </row>
    <row r="24" spans="1:18" ht="76.5" customHeight="1" thickBot="1" x14ac:dyDescent="0.3">
      <c r="A24" s="24" t="s">
        <v>160</v>
      </c>
      <c r="B24" s="28"/>
      <c r="C24" s="28">
        <f>10.61-16.69</f>
        <v>-6.0800000000000018</v>
      </c>
      <c r="D24" s="28">
        <f>17.3-7.94</f>
        <v>9.36</v>
      </c>
      <c r="E24" s="38">
        <v>1000</v>
      </c>
      <c r="F24" s="28"/>
      <c r="G24" s="38"/>
      <c r="H24" s="28">
        <f>(C24)+(D24*12)</f>
        <v>106.24</v>
      </c>
      <c r="I24" s="28">
        <v>16.690000000000001</v>
      </c>
      <c r="J24" s="28">
        <v>7.94</v>
      </c>
      <c r="K24" s="28">
        <f t="shared" si="1"/>
        <v>95.28</v>
      </c>
      <c r="L24" s="28">
        <f t="shared" si="4"/>
        <v>111.97</v>
      </c>
      <c r="M24" s="28">
        <f t="shared" si="0"/>
        <v>218.20999999999998</v>
      </c>
      <c r="N24" s="60" t="s">
        <v>161</v>
      </c>
      <c r="O24" s="8"/>
      <c r="P24" s="8"/>
      <c r="Q24" s="8"/>
      <c r="R24" s="8"/>
    </row>
    <row r="25" spans="1:18" ht="24.75" thickBot="1" x14ac:dyDescent="0.3">
      <c r="A25" s="24" t="s">
        <v>32</v>
      </c>
      <c r="B25" s="28"/>
      <c r="C25" s="28">
        <v>5.75</v>
      </c>
      <c r="D25" s="28">
        <v>2.35</v>
      </c>
      <c r="E25" s="38">
        <v>1000</v>
      </c>
      <c r="F25" s="28"/>
      <c r="G25" s="38"/>
      <c r="H25" s="28">
        <f>(C25)+(D25*12)</f>
        <v>33.950000000000003</v>
      </c>
      <c r="I25" s="28">
        <v>16.690000000000001</v>
      </c>
      <c r="J25" s="28">
        <v>7.94</v>
      </c>
      <c r="K25" s="28">
        <f t="shared" si="1"/>
        <v>95.28</v>
      </c>
      <c r="L25" s="28">
        <f t="shared" si="4"/>
        <v>111.97</v>
      </c>
      <c r="M25" s="28">
        <f t="shared" si="0"/>
        <v>145.92000000000002</v>
      </c>
      <c r="N25" s="60" t="s">
        <v>136</v>
      </c>
      <c r="O25" s="8"/>
      <c r="P25" s="8"/>
      <c r="Q25" s="8"/>
      <c r="R25" s="8"/>
    </row>
    <row r="26" spans="1:18" ht="36.75" thickBot="1" x14ac:dyDescent="0.3">
      <c r="A26" s="34" t="s">
        <v>22</v>
      </c>
      <c r="B26" s="33"/>
      <c r="C26" s="33">
        <f>60.76-16.69</f>
        <v>44.069999999999993</v>
      </c>
      <c r="D26" s="33">
        <f>10.05-7.94</f>
        <v>2.1100000000000003</v>
      </c>
      <c r="E26" s="35">
        <v>1000</v>
      </c>
      <c r="F26" s="33"/>
      <c r="G26" s="35"/>
      <c r="H26" s="33">
        <f>(C26)+(D26*12)</f>
        <v>69.39</v>
      </c>
      <c r="I26" s="33">
        <v>16.690000000000001</v>
      </c>
      <c r="J26" s="33">
        <v>7.94</v>
      </c>
      <c r="K26" s="28">
        <f t="shared" si="1"/>
        <v>95.28</v>
      </c>
      <c r="L26" s="33">
        <f t="shared" si="4"/>
        <v>111.97</v>
      </c>
      <c r="M26" s="33">
        <f>H26+L26</f>
        <v>181.36</v>
      </c>
      <c r="N26" s="61" t="s">
        <v>81</v>
      </c>
      <c r="O26" s="8"/>
      <c r="P26" s="8"/>
      <c r="Q26" s="8"/>
      <c r="R26" s="8"/>
    </row>
    <row r="27" spans="1:18" ht="80.25" customHeight="1" thickBot="1" x14ac:dyDescent="0.3">
      <c r="A27" s="43" t="s">
        <v>11</v>
      </c>
      <c r="B27" s="33"/>
      <c r="C27" s="33"/>
      <c r="D27" s="33">
        <f>8.28*3</f>
        <v>24.839999999999996</v>
      </c>
      <c r="E27" s="35">
        <v>3000</v>
      </c>
      <c r="F27" s="33">
        <v>7.43</v>
      </c>
      <c r="G27" s="35">
        <v>3001</v>
      </c>
      <c r="H27" s="33">
        <f>D27+(F27*9)</f>
        <v>91.710000000000008</v>
      </c>
      <c r="I27" s="33">
        <v>16.690000000000001</v>
      </c>
      <c r="J27" s="33">
        <v>7.94</v>
      </c>
      <c r="K27" s="28">
        <f t="shared" si="1"/>
        <v>95.28</v>
      </c>
      <c r="L27" s="33">
        <f t="shared" si="4"/>
        <v>111.97</v>
      </c>
      <c r="M27" s="33">
        <f t="shared" ref="M27" si="5">H27+L27</f>
        <v>203.68</v>
      </c>
      <c r="N27" s="61" t="s">
        <v>76</v>
      </c>
      <c r="O27" s="8"/>
      <c r="P27" s="8"/>
      <c r="Q27" s="8"/>
      <c r="R27" s="8"/>
    </row>
    <row r="28" spans="1:18" ht="36.75" thickBot="1" x14ac:dyDescent="0.3">
      <c r="A28" s="24" t="s">
        <v>28</v>
      </c>
      <c r="B28" s="28"/>
      <c r="C28" s="28"/>
      <c r="D28" s="28">
        <f>10.08-7.94</f>
        <v>2.1399999999999997</v>
      </c>
      <c r="E28" s="38">
        <v>1000</v>
      </c>
      <c r="F28" s="28"/>
      <c r="G28" s="38"/>
      <c r="H28" s="28">
        <f>D28*12</f>
        <v>25.679999999999996</v>
      </c>
      <c r="I28" s="28">
        <v>16.690000000000001</v>
      </c>
      <c r="J28" s="28">
        <v>7.94</v>
      </c>
      <c r="K28" s="28">
        <f t="shared" si="1"/>
        <v>95.28</v>
      </c>
      <c r="L28" s="28">
        <f t="shared" si="4"/>
        <v>111.97</v>
      </c>
      <c r="M28" s="28">
        <f t="shared" si="0"/>
        <v>137.65</v>
      </c>
      <c r="N28" s="60" t="s">
        <v>153</v>
      </c>
      <c r="O28" s="8"/>
      <c r="P28" s="8"/>
      <c r="Q28" s="8"/>
      <c r="R28" s="8"/>
    </row>
    <row r="29" spans="1:18" ht="102.75" customHeight="1" thickBot="1" x14ac:dyDescent="0.3">
      <c r="A29" s="24" t="s">
        <v>29</v>
      </c>
      <c r="B29" s="28"/>
      <c r="C29" s="28">
        <v>2</v>
      </c>
      <c r="D29" s="28">
        <f>12.58-7.94</f>
        <v>4.6399999999999997</v>
      </c>
      <c r="E29" s="38">
        <v>1000</v>
      </c>
      <c r="F29" s="28"/>
      <c r="G29" s="38"/>
      <c r="H29" s="28">
        <f>(D29)*12</f>
        <v>55.679999999999993</v>
      </c>
      <c r="I29" s="28">
        <v>16.690000000000001</v>
      </c>
      <c r="J29" s="28">
        <v>7.94</v>
      </c>
      <c r="K29" s="28">
        <f t="shared" si="1"/>
        <v>95.28</v>
      </c>
      <c r="L29" s="28">
        <f t="shared" si="4"/>
        <v>111.97</v>
      </c>
      <c r="M29" s="28">
        <f t="shared" si="0"/>
        <v>167.64999999999998</v>
      </c>
      <c r="N29" s="60" t="s">
        <v>154</v>
      </c>
      <c r="O29" s="8"/>
      <c r="P29" s="8"/>
      <c r="Q29" s="8"/>
      <c r="R29" s="8"/>
    </row>
    <row r="30" spans="1:18" ht="30" customHeight="1" thickBot="1" x14ac:dyDescent="0.3">
      <c r="A30" s="34" t="s">
        <v>86</v>
      </c>
      <c r="B30" s="33">
        <v>1.5</v>
      </c>
      <c r="C30" s="33"/>
      <c r="D30" s="33">
        <v>4.5</v>
      </c>
      <c r="E30" s="35">
        <v>1000</v>
      </c>
      <c r="F30" s="33"/>
      <c r="G30" s="35"/>
      <c r="H30" s="33">
        <f>(B30*3)+(D30*12)</f>
        <v>58.5</v>
      </c>
      <c r="I30" s="33">
        <v>16.690000000000001</v>
      </c>
      <c r="J30" s="33">
        <v>7.94</v>
      </c>
      <c r="K30" s="28">
        <f t="shared" si="1"/>
        <v>95.28</v>
      </c>
      <c r="L30" s="33">
        <f t="shared" si="4"/>
        <v>111.97</v>
      </c>
      <c r="M30" s="33">
        <f t="shared" si="0"/>
        <v>170.47</v>
      </c>
      <c r="N30" s="61" t="s">
        <v>85</v>
      </c>
      <c r="O30" s="8"/>
      <c r="P30" s="8"/>
      <c r="Q30" s="8"/>
      <c r="R30" s="8"/>
    </row>
    <row r="31" spans="1:18" ht="24.75" thickBot="1" x14ac:dyDescent="0.3">
      <c r="A31" s="34" t="s">
        <v>87</v>
      </c>
      <c r="B31" s="33"/>
      <c r="C31" s="33">
        <f>6.32/2*3</f>
        <v>9.48</v>
      </c>
      <c r="D31" s="33">
        <v>2</v>
      </c>
      <c r="E31" s="35">
        <v>1000</v>
      </c>
      <c r="F31" s="33" t="s">
        <v>10</v>
      </c>
      <c r="G31" s="35" t="s">
        <v>10</v>
      </c>
      <c r="H31" s="33">
        <f>(C31)+(D31*12)</f>
        <v>33.480000000000004</v>
      </c>
      <c r="I31" s="33">
        <v>16.690000000000001</v>
      </c>
      <c r="J31" s="33">
        <v>7.94</v>
      </c>
      <c r="K31" s="28">
        <f t="shared" si="1"/>
        <v>95.28</v>
      </c>
      <c r="L31" s="33">
        <f t="shared" si="4"/>
        <v>111.97</v>
      </c>
      <c r="M31" s="33">
        <f t="shared" si="0"/>
        <v>145.44999999999999</v>
      </c>
      <c r="N31" s="61" t="s">
        <v>88</v>
      </c>
      <c r="O31" s="8"/>
      <c r="P31" s="8"/>
      <c r="Q31" s="8"/>
      <c r="R31" s="8"/>
    </row>
    <row r="32" spans="1:18" ht="69" customHeight="1" thickBot="1" x14ac:dyDescent="0.3">
      <c r="A32" s="24" t="s">
        <v>138</v>
      </c>
      <c r="B32" s="28"/>
      <c r="C32" s="28"/>
      <c r="D32" s="28">
        <f>8.5*1.5</f>
        <v>12.75</v>
      </c>
      <c r="E32" s="38">
        <v>3000</v>
      </c>
      <c r="F32" s="28">
        <v>2.5</v>
      </c>
      <c r="G32" s="38">
        <v>3001</v>
      </c>
      <c r="H32" s="28">
        <f>(D32)+(F32*9)</f>
        <v>35.25</v>
      </c>
      <c r="I32" s="28">
        <v>16.690000000000001</v>
      </c>
      <c r="J32" s="28">
        <v>7.94</v>
      </c>
      <c r="K32" s="28">
        <f t="shared" si="1"/>
        <v>95.28</v>
      </c>
      <c r="L32" s="28">
        <f t="shared" si="4"/>
        <v>111.97</v>
      </c>
      <c r="M32" s="28">
        <f t="shared" si="0"/>
        <v>147.22</v>
      </c>
      <c r="N32" s="60" t="s">
        <v>186</v>
      </c>
      <c r="O32" s="8"/>
      <c r="P32" s="8"/>
      <c r="Q32" s="8"/>
      <c r="R32" s="8"/>
    </row>
    <row r="33" spans="1:18" ht="120.75" thickBot="1" x14ac:dyDescent="0.3">
      <c r="A33" s="24" t="s">
        <v>14</v>
      </c>
      <c r="B33" s="28"/>
      <c r="C33" s="28"/>
      <c r="D33" s="28">
        <f>(32.46*1.5)-16.69 -(3*7.94)</f>
        <v>8.1799999999999962</v>
      </c>
      <c r="E33" s="38">
        <v>3000</v>
      </c>
      <c r="F33" s="28">
        <f>9.1-7.94</f>
        <v>1.1599999999999993</v>
      </c>
      <c r="G33" s="38">
        <v>3001</v>
      </c>
      <c r="H33" s="28">
        <f>(D33)+(F33*9)</f>
        <v>18.61999999999999</v>
      </c>
      <c r="I33" s="28">
        <v>16.690000000000001</v>
      </c>
      <c r="J33" s="28">
        <v>7.94</v>
      </c>
      <c r="K33" s="28">
        <f t="shared" si="1"/>
        <v>95.28</v>
      </c>
      <c r="L33" s="28">
        <f t="shared" si="4"/>
        <v>111.97</v>
      </c>
      <c r="M33" s="28">
        <f>H33+L33</f>
        <v>130.58999999999997</v>
      </c>
      <c r="N33" s="60" t="s">
        <v>187</v>
      </c>
      <c r="O33" s="8"/>
      <c r="P33" s="8"/>
      <c r="Q33" s="8"/>
      <c r="R33" s="8"/>
    </row>
    <row r="34" spans="1:18" ht="47.25" customHeight="1" thickBot="1" x14ac:dyDescent="0.3">
      <c r="A34" s="24" t="s">
        <v>125</v>
      </c>
      <c r="B34" s="28">
        <v>13.15</v>
      </c>
      <c r="C34" s="28"/>
      <c r="D34" s="28">
        <v>3.99</v>
      </c>
      <c r="E34" s="38">
        <v>1000</v>
      </c>
      <c r="F34" s="28"/>
      <c r="G34" s="38"/>
      <c r="H34" s="28">
        <f>(B34*3)+(D34*12)</f>
        <v>87.330000000000013</v>
      </c>
      <c r="I34" s="28">
        <v>16.690000000000001</v>
      </c>
      <c r="J34" s="28">
        <v>7.94</v>
      </c>
      <c r="K34" s="28">
        <f t="shared" si="1"/>
        <v>95.28</v>
      </c>
      <c r="L34" s="28">
        <f t="shared" si="4"/>
        <v>111.97</v>
      </c>
      <c r="M34" s="28">
        <f t="shared" si="0"/>
        <v>199.3</v>
      </c>
      <c r="N34" s="60" t="s">
        <v>124</v>
      </c>
      <c r="O34" s="8"/>
      <c r="P34" s="8"/>
      <c r="Q34" s="8"/>
      <c r="R34" s="8"/>
    </row>
    <row r="35" spans="1:18" x14ac:dyDescent="0.25">
      <c r="I35" s="5" t="s">
        <v>10</v>
      </c>
      <c r="K35" s="5" t="s">
        <v>10</v>
      </c>
    </row>
    <row r="36" spans="1:18" x14ac:dyDescent="0.25">
      <c r="A36" s="3" t="s">
        <v>12</v>
      </c>
      <c r="B36" s="4" t="s">
        <v>53</v>
      </c>
    </row>
    <row r="38" spans="1:18" x14ac:dyDescent="0.25">
      <c r="B38" s="5" t="s">
        <v>202</v>
      </c>
    </row>
  </sheetData>
  <sheetProtection formatCells="0" formatColumns="0" formatRows="0"/>
  <pageMargins left="0.7" right="0.7" top="0.75" bottom="0.75" header="0.3" footer="0.3"/>
  <pageSetup paperSize="17" scale="5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48"/>
  <sheetViews>
    <sheetView topLeftCell="A12" zoomScaleNormal="100" workbookViewId="0">
      <selection activeCell="N12" sqref="N1:N1048576"/>
    </sheetView>
  </sheetViews>
  <sheetFormatPr defaultColWidth="9.140625" defaultRowHeight="15" x14ac:dyDescent="0.25"/>
  <cols>
    <col min="1" max="1" width="27.7109375" style="5" customWidth="1"/>
    <col min="2" max="2" width="11.5703125" style="5" customWidth="1"/>
    <col min="3" max="3" width="9.28515625" style="5" customWidth="1"/>
    <col min="4" max="5" width="9" style="5" customWidth="1"/>
    <col min="6" max="6" width="6.42578125" style="5" customWidth="1"/>
    <col min="7" max="7" width="8" style="5" customWidth="1"/>
    <col min="8" max="8" width="19.85546875" style="5" customWidth="1"/>
    <col min="9" max="9" width="12.85546875" style="5" customWidth="1"/>
    <col min="10" max="10" width="11.7109375" style="5" customWidth="1"/>
    <col min="11" max="11" width="16.5703125" style="5" customWidth="1"/>
    <col min="12" max="12" width="17" style="5" customWidth="1"/>
    <col min="13" max="13" width="17.28515625" style="5" customWidth="1"/>
    <col min="14" max="14" width="63" style="8" hidden="1" customWidth="1"/>
    <col min="15" max="16384" width="9.140625" style="5"/>
  </cols>
  <sheetData>
    <row r="1" spans="1:14" ht="18.75" x14ac:dyDescent="0.3">
      <c r="A1" s="10" t="s">
        <v>57</v>
      </c>
    </row>
    <row r="2" spans="1:14" ht="15.75" x14ac:dyDescent="0.25">
      <c r="A2" s="11" t="s">
        <v>15</v>
      </c>
      <c r="C2" s="1"/>
    </row>
    <row r="3" spans="1:14" x14ac:dyDescent="0.25">
      <c r="A3" s="5" t="s">
        <v>54</v>
      </c>
      <c r="B3" s="1"/>
    </row>
    <row r="4" spans="1:14" x14ac:dyDescent="0.25">
      <c r="A4" s="5" t="s">
        <v>205</v>
      </c>
      <c r="C4" s="1"/>
      <c r="D4" s="1"/>
    </row>
    <row r="5" spans="1:14" ht="15.75" thickBot="1" x14ac:dyDescent="0.3">
      <c r="C5" s="1"/>
      <c r="D5" s="1"/>
    </row>
    <row r="6" spans="1:14" ht="45.75" customHeight="1" thickBot="1" x14ac:dyDescent="0.3">
      <c r="A6" s="23" t="s">
        <v>47</v>
      </c>
      <c r="B6" s="24" t="s">
        <v>48</v>
      </c>
      <c r="C6" s="24"/>
      <c r="D6" s="24" t="s">
        <v>31</v>
      </c>
      <c r="E6" s="24"/>
      <c r="F6" s="24" t="s">
        <v>2</v>
      </c>
      <c r="G6" s="24"/>
      <c r="H6" s="23" t="s">
        <v>50</v>
      </c>
      <c r="I6" s="23" t="s">
        <v>43</v>
      </c>
      <c r="J6" s="23" t="s">
        <v>44</v>
      </c>
      <c r="K6" s="23" t="s">
        <v>3</v>
      </c>
      <c r="L6" s="23" t="s">
        <v>51</v>
      </c>
      <c r="M6" s="23" t="s">
        <v>58</v>
      </c>
      <c r="N6" s="23" t="s">
        <v>62</v>
      </c>
    </row>
    <row r="7" spans="1:14" ht="30.75" thickBot="1" x14ac:dyDescent="0.3">
      <c r="A7" s="26"/>
      <c r="B7" s="24" t="s">
        <v>4</v>
      </c>
      <c r="C7" s="24" t="s">
        <v>5</v>
      </c>
      <c r="D7" s="24" t="s">
        <v>6</v>
      </c>
      <c r="E7" s="24" t="s">
        <v>7</v>
      </c>
      <c r="F7" s="24" t="s">
        <v>6</v>
      </c>
      <c r="G7" s="24" t="s">
        <v>8</v>
      </c>
      <c r="H7" s="27" t="s">
        <v>206</v>
      </c>
      <c r="I7" s="27" t="s">
        <v>9</v>
      </c>
      <c r="J7" s="27" t="s">
        <v>45</v>
      </c>
      <c r="K7" s="27" t="s">
        <v>207</v>
      </c>
      <c r="L7" s="27" t="s">
        <v>207</v>
      </c>
      <c r="M7" s="27" t="s">
        <v>207</v>
      </c>
      <c r="N7" s="40"/>
    </row>
    <row r="8" spans="1:14" s="18" customFormat="1" ht="36.75" thickBot="1" x14ac:dyDescent="0.3">
      <c r="A8" s="41" t="s">
        <v>61</v>
      </c>
      <c r="B8" s="33">
        <f>6.75-(16.69/3)</f>
        <v>1.1866666666666665</v>
      </c>
      <c r="C8" s="33"/>
      <c r="D8" s="33">
        <f>11.52-7.94</f>
        <v>3.5799999999999992</v>
      </c>
      <c r="E8" s="35">
        <v>1000</v>
      </c>
      <c r="F8" s="33"/>
      <c r="G8" s="35"/>
      <c r="H8" s="33">
        <f t="shared" ref="H8:H27" si="0">(B8*3)+(D8*12)</f>
        <v>46.519999999999996</v>
      </c>
      <c r="I8" s="33">
        <v>16.690000000000001</v>
      </c>
      <c r="J8" s="33">
        <v>7.94</v>
      </c>
      <c r="K8" s="33">
        <f>7.94*12</f>
        <v>95.28</v>
      </c>
      <c r="L8" s="33">
        <f>I8+K8</f>
        <v>111.97</v>
      </c>
      <c r="M8" s="33">
        <f>H8+L8</f>
        <v>158.49</v>
      </c>
      <c r="N8" s="42" t="s">
        <v>139</v>
      </c>
    </row>
    <row r="9" spans="1:14" ht="51" customHeight="1" thickBot="1" x14ac:dyDescent="0.3">
      <c r="A9" s="44" t="s">
        <v>188</v>
      </c>
      <c r="B9" s="28"/>
      <c r="C9" s="28"/>
      <c r="D9" s="28">
        <f>13.44-7.94</f>
        <v>5.4999999999999991</v>
      </c>
      <c r="E9" s="38">
        <v>1000</v>
      </c>
      <c r="F9" s="28"/>
      <c r="G9" s="38"/>
      <c r="H9" s="28">
        <f t="shared" si="0"/>
        <v>65.999999999999986</v>
      </c>
      <c r="I9" s="28">
        <v>16.690000000000001</v>
      </c>
      <c r="J9" s="28">
        <v>7.94</v>
      </c>
      <c r="K9" s="33">
        <f t="shared" ref="K9:K43" si="1">7.94*12</f>
        <v>95.28</v>
      </c>
      <c r="L9" s="28">
        <f t="shared" ref="L9:L35" si="2">I9+K9</f>
        <v>111.97</v>
      </c>
      <c r="M9" s="28">
        <f t="shared" ref="M9:M43" si="3">H9+L9</f>
        <v>177.96999999999997</v>
      </c>
      <c r="N9" s="45" t="s">
        <v>189</v>
      </c>
    </row>
    <row r="10" spans="1:14" ht="48.75" thickBot="1" x14ac:dyDescent="0.3">
      <c r="A10" s="43" t="s">
        <v>79</v>
      </c>
      <c r="B10" s="33">
        <f>15-5.56</f>
        <v>9.4400000000000013</v>
      </c>
      <c r="C10" s="33" t="s">
        <v>10</v>
      </c>
      <c r="D10" s="33">
        <f>9-7.94</f>
        <v>1.0599999999999996</v>
      </c>
      <c r="E10" s="35">
        <v>1000</v>
      </c>
      <c r="F10" s="33"/>
      <c r="G10" s="35"/>
      <c r="H10" s="33">
        <f t="shared" si="0"/>
        <v>41.04</v>
      </c>
      <c r="I10" s="33">
        <v>16.690000000000001</v>
      </c>
      <c r="J10" s="33">
        <v>7.94</v>
      </c>
      <c r="K10" s="33">
        <f t="shared" si="1"/>
        <v>95.28</v>
      </c>
      <c r="L10" s="33">
        <f t="shared" si="2"/>
        <v>111.97</v>
      </c>
      <c r="M10" s="33">
        <f>H10+L10</f>
        <v>153.01</v>
      </c>
      <c r="N10" s="42" t="s">
        <v>80</v>
      </c>
    </row>
    <row r="11" spans="1:14" ht="60.75" thickBot="1" x14ac:dyDescent="0.3">
      <c r="A11" s="44" t="s">
        <v>141</v>
      </c>
      <c r="B11" s="28">
        <f>10.13-5.56</f>
        <v>4.5700000000000012</v>
      </c>
      <c r="C11" s="28"/>
      <c r="D11" s="28">
        <f>16.85-7.94</f>
        <v>8.91</v>
      </c>
      <c r="E11" s="38">
        <v>1000</v>
      </c>
      <c r="F11" s="28"/>
      <c r="G11" s="38"/>
      <c r="H11" s="28">
        <f t="shared" si="0"/>
        <v>120.63000000000001</v>
      </c>
      <c r="I11" s="28">
        <v>16.690000000000001</v>
      </c>
      <c r="J11" s="28">
        <v>7.94</v>
      </c>
      <c r="K11" s="33">
        <f t="shared" si="1"/>
        <v>95.28</v>
      </c>
      <c r="L11" s="28">
        <f t="shared" si="2"/>
        <v>111.97</v>
      </c>
      <c r="M11" s="28">
        <f t="shared" si="3"/>
        <v>232.60000000000002</v>
      </c>
      <c r="N11" s="45" t="s">
        <v>140</v>
      </c>
    </row>
    <row r="12" spans="1:14" ht="32.25" customHeight="1" thickBot="1" x14ac:dyDescent="0.3">
      <c r="A12" s="43" t="s">
        <v>167</v>
      </c>
      <c r="B12" s="33"/>
      <c r="C12" s="33" t="s">
        <v>10</v>
      </c>
      <c r="D12" s="33">
        <v>6.23</v>
      </c>
      <c r="E12" s="35">
        <v>1000</v>
      </c>
      <c r="F12" s="33"/>
      <c r="G12" s="35"/>
      <c r="H12" s="33">
        <f t="shared" si="0"/>
        <v>74.760000000000005</v>
      </c>
      <c r="I12" s="33">
        <v>16.690000000000001</v>
      </c>
      <c r="J12" s="33">
        <v>7.94</v>
      </c>
      <c r="K12" s="33">
        <f t="shared" si="1"/>
        <v>95.28</v>
      </c>
      <c r="L12" s="33">
        <f t="shared" si="2"/>
        <v>111.97</v>
      </c>
      <c r="M12" s="33">
        <f t="shared" si="3"/>
        <v>186.73000000000002</v>
      </c>
      <c r="N12" s="42" t="s">
        <v>67</v>
      </c>
    </row>
    <row r="13" spans="1:14" ht="56.25" customHeight="1" thickBot="1" x14ac:dyDescent="0.3">
      <c r="A13" s="44" t="s">
        <v>190</v>
      </c>
      <c r="B13" s="28"/>
      <c r="C13" s="28"/>
      <c r="D13" s="28">
        <f>14.29-7.94</f>
        <v>6.3499999999999988</v>
      </c>
      <c r="E13" s="38">
        <v>1000</v>
      </c>
      <c r="F13" s="28"/>
      <c r="G13" s="38"/>
      <c r="H13" s="28">
        <f t="shared" si="0"/>
        <v>76.199999999999989</v>
      </c>
      <c r="I13" s="28">
        <v>16.690000000000001</v>
      </c>
      <c r="J13" s="28">
        <v>7.94</v>
      </c>
      <c r="K13" s="33">
        <f t="shared" si="1"/>
        <v>95.28</v>
      </c>
      <c r="L13" s="28">
        <f t="shared" si="2"/>
        <v>111.97</v>
      </c>
      <c r="M13" s="28">
        <f t="shared" si="3"/>
        <v>188.17</v>
      </c>
      <c r="N13" s="45" t="s">
        <v>191</v>
      </c>
    </row>
    <row r="14" spans="1:14" ht="65.25" customHeight="1" thickBot="1" x14ac:dyDescent="0.3">
      <c r="A14" s="44" t="s">
        <v>24</v>
      </c>
      <c r="B14" s="28"/>
      <c r="C14" s="28" t="s">
        <v>10</v>
      </c>
      <c r="D14" s="28">
        <v>7.28</v>
      </c>
      <c r="E14" s="38">
        <v>1000</v>
      </c>
      <c r="F14" s="28"/>
      <c r="G14" s="38"/>
      <c r="H14" s="28">
        <f t="shared" si="0"/>
        <v>87.36</v>
      </c>
      <c r="I14" s="28">
        <v>16.690000000000001</v>
      </c>
      <c r="J14" s="28">
        <v>7.94</v>
      </c>
      <c r="K14" s="33">
        <f t="shared" si="1"/>
        <v>95.28</v>
      </c>
      <c r="L14" s="28">
        <f t="shared" si="2"/>
        <v>111.97</v>
      </c>
      <c r="M14" s="28">
        <f t="shared" si="3"/>
        <v>199.32999999999998</v>
      </c>
      <c r="N14" s="45" t="s">
        <v>92</v>
      </c>
    </row>
    <row r="15" spans="1:14" ht="45.75" customHeight="1" thickBot="1" x14ac:dyDescent="0.3">
      <c r="A15" s="44" t="s">
        <v>59</v>
      </c>
      <c r="B15" s="28">
        <f>6.2-(16.69/3)</f>
        <v>0.63666666666666671</v>
      </c>
      <c r="C15" s="24"/>
      <c r="D15" s="28">
        <f>12.65-7.94</f>
        <v>4.71</v>
      </c>
      <c r="E15" s="38">
        <v>1000</v>
      </c>
      <c r="F15" s="28"/>
      <c r="G15" s="38"/>
      <c r="H15" s="28">
        <f t="shared" si="0"/>
        <v>58.429999999999993</v>
      </c>
      <c r="I15" s="28">
        <v>16.690000000000001</v>
      </c>
      <c r="J15" s="28">
        <v>7.94</v>
      </c>
      <c r="K15" s="33">
        <f t="shared" si="1"/>
        <v>95.28</v>
      </c>
      <c r="L15" s="28">
        <f t="shared" si="2"/>
        <v>111.97</v>
      </c>
      <c r="M15" s="28">
        <f t="shared" si="3"/>
        <v>170.39999999999998</v>
      </c>
      <c r="N15" s="45" t="s">
        <v>66</v>
      </c>
    </row>
    <row r="16" spans="1:14" ht="48.75" thickBot="1" x14ac:dyDescent="0.3">
      <c r="A16" s="43" t="s">
        <v>168</v>
      </c>
      <c r="B16" s="33">
        <v>2.25</v>
      </c>
      <c r="C16" s="33" t="s">
        <v>10</v>
      </c>
      <c r="D16" s="33">
        <v>8.4</v>
      </c>
      <c r="E16" s="35">
        <v>1000</v>
      </c>
      <c r="F16" s="33"/>
      <c r="G16" s="35"/>
      <c r="H16" s="33">
        <f t="shared" si="0"/>
        <v>107.55000000000001</v>
      </c>
      <c r="I16" s="33">
        <v>16.690000000000001</v>
      </c>
      <c r="J16" s="33">
        <v>7.94</v>
      </c>
      <c r="K16" s="33">
        <f t="shared" si="1"/>
        <v>95.28</v>
      </c>
      <c r="L16" s="33">
        <f t="shared" si="2"/>
        <v>111.97</v>
      </c>
      <c r="M16" s="33">
        <f t="shared" si="3"/>
        <v>219.52</v>
      </c>
      <c r="N16" s="42" t="s">
        <v>84</v>
      </c>
    </row>
    <row r="17" spans="1:14" ht="55.5" customHeight="1" thickBot="1" x14ac:dyDescent="0.3">
      <c r="A17" s="44" t="s">
        <v>193</v>
      </c>
      <c r="B17" s="28"/>
      <c r="C17" s="28" t="s">
        <v>10</v>
      </c>
      <c r="D17" s="28">
        <f>12.44-7.94</f>
        <v>4.4999999999999991</v>
      </c>
      <c r="E17" s="38">
        <v>1000</v>
      </c>
      <c r="F17" s="28"/>
      <c r="G17" s="38"/>
      <c r="H17" s="28">
        <f t="shared" si="0"/>
        <v>53.999999999999986</v>
      </c>
      <c r="I17" s="28">
        <v>16.690000000000001</v>
      </c>
      <c r="J17" s="28">
        <v>7.94</v>
      </c>
      <c r="K17" s="33">
        <f t="shared" si="1"/>
        <v>95.28</v>
      </c>
      <c r="L17" s="28">
        <f t="shared" si="2"/>
        <v>111.97</v>
      </c>
      <c r="M17" s="28">
        <f t="shared" si="3"/>
        <v>165.96999999999997</v>
      </c>
      <c r="N17" s="45" t="s">
        <v>192</v>
      </c>
    </row>
    <row r="18" spans="1:14" ht="36.75" thickBot="1" x14ac:dyDescent="0.3">
      <c r="A18" s="43" t="s">
        <v>169</v>
      </c>
      <c r="B18" s="33"/>
      <c r="C18" s="33" t="s">
        <v>10</v>
      </c>
      <c r="D18" s="33">
        <v>5</v>
      </c>
      <c r="E18" s="35">
        <v>1000</v>
      </c>
      <c r="F18" s="33"/>
      <c r="G18" s="35"/>
      <c r="H18" s="33">
        <f t="shared" si="0"/>
        <v>60</v>
      </c>
      <c r="I18" s="33">
        <v>16.690000000000001</v>
      </c>
      <c r="J18" s="33">
        <v>7.94</v>
      </c>
      <c r="K18" s="33">
        <f t="shared" si="1"/>
        <v>95.28</v>
      </c>
      <c r="L18" s="33">
        <f t="shared" si="2"/>
        <v>111.97</v>
      </c>
      <c r="M18" s="33">
        <f t="shared" si="3"/>
        <v>171.97</v>
      </c>
      <c r="N18" s="42" t="s">
        <v>68</v>
      </c>
    </row>
    <row r="19" spans="1:14" ht="60.75" thickBot="1" x14ac:dyDescent="0.3">
      <c r="A19" s="43" t="s">
        <v>170</v>
      </c>
      <c r="B19" s="33">
        <v>5.48</v>
      </c>
      <c r="C19" s="33"/>
      <c r="D19" s="33">
        <f>8.62</f>
        <v>8.6199999999999992</v>
      </c>
      <c r="E19" s="35">
        <v>1000</v>
      </c>
      <c r="F19" s="33"/>
      <c r="G19" s="35"/>
      <c r="H19" s="33">
        <f t="shared" si="0"/>
        <v>119.88</v>
      </c>
      <c r="I19" s="33">
        <v>16.690000000000001</v>
      </c>
      <c r="J19" s="33">
        <v>7.94</v>
      </c>
      <c r="K19" s="33">
        <f t="shared" si="1"/>
        <v>95.28</v>
      </c>
      <c r="L19" s="33">
        <f t="shared" si="2"/>
        <v>111.97</v>
      </c>
      <c r="M19" s="33">
        <f t="shared" si="3"/>
        <v>231.85</v>
      </c>
      <c r="N19" s="42" t="s">
        <v>77</v>
      </c>
    </row>
    <row r="20" spans="1:14" ht="53.25" customHeight="1" thickBot="1" x14ac:dyDescent="0.3">
      <c r="A20" s="65" t="s">
        <v>171</v>
      </c>
      <c r="B20" s="28">
        <f>9.27-5.56</f>
        <v>3.71</v>
      </c>
      <c r="C20" s="28" t="s">
        <v>10</v>
      </c>
      <c r="D20" s="28">
        <f>10.87-7.94</f>
        <v>2.9299999999999988</v>
      </c>
      <c r="E20" s="38">
        <v>1000</v>
      </c>
      <c r="F20" s="28"/>
      <c r="G20" s="38"/>
      <c r="H20" s="28">
        <f t="shared" si="0"/>
        <v>46.289999999999978</v>
      </c>
      <c r="I20" s="28">
        <v>16.690000000000001</v>
      </c>
      <c r="J20" s="28">
        <v>7.94</v>
      </c>
      <c r="K20" s="33">
        <f t="shared" si="1"/>
        <v>95.28</v>
      </c>
      <c r="L20" s="28">
        <f t="shared" si="2"/>
        <v>111.97</v>
      </c>
      <c r="M20" s="28">
        <f t="shared" si="3"/>
        <v>158.26</v>
      </c>
      <c r="N20" s="45" t="s">
        <v>155</v>
      </c>
    </row>
    <row r="21" spans="1:14" ht="51.75" customHeight="1" thickBot="1" x14ac:dyDescent="0.3">
      <c r="A21" s="44" t="s">
        <v>156</v>
      </c>
      <c r="B21" s="28">
        <f>5.94-5.56</f>
        <v>0.38000000000000078</v>
      </c>
      <c r="C21" s="28"/>
      <c r="D21" s="28">
        <v>4</v>
      </c>
      <c r="E21" s="38">
        <v>1000</v>
      </c>
      <c r="F21" s="28"/>
      <c r="G21" s="38"/>
      <c r="H21" s="28">
        <f t="shared" si="0"/>
        <v>49.14</v>
      </c>
      <c r="I21" s="28">
        <v>16.690000000000001</v>
      </c>
      <c r="J21" s="28">
        <v>7.94</v>
      </c>
      <c r="K21" s="33">
        <f t="shared" si="1"/>
        <v>95.28</v>
      </c>
      <c r="L21" s="28">
        <f t="shared" si="2"/>
        <v>111.97</v>
      </c>
      <c r="M21" s="28">
        <f t="shared" si="3"/>
        <v>161.11000000000001</v>
      </c>
      <c r="N21" s="45" t="s">
        <v>201</v>
      </c>
    </row>
    <row r="22" spans="1:14" ht="42" customHeight="1" thickBot="1" x14ac:dyDescent="0.3">
      <c r="A22" s="44" t="s">
        <v>19</v>
      </c>
      <c r="B22" s="28"/>
      <c r="C22" s="28"/>
      <c r="D22" s="28">
        <f>9.75-7.94</f>
        <v>1.8099999999999996</v>
      </c>
      <c r="E22" s="38">
        <v>1000</v>
      </c>
      <c r="F22" s="28"/>
      <c r="G22" s="38"/>
      <c r="H22" s="28">
        <f t="shared" si="0"/>
        <v>21.719999999999995</v>
      </c>
      <c r="I22" s="28">
        <v>16.690000000000001</v>
      </c>
      <c r="J22" s="28">
        <v>7.94</v>
      </c>
      <c r="K22" s="33">
        <f t="shared" si="1"/>
        <v>95.28</v>
      </c>
      <c r="L22" s="28">
        <f t="shared" si="2"/>
        <v>111.97</v>
      </c>
      <c r="M22" s="28">
        <f t="shared" si="3"/>
        <v>133.69</v>
      </c>
      <c r="N22" s="45" t="s">
        <v>135</v>
      </c>
    </row>
    <row r="23" spans="1:14" s="18" customFormat="1" ht="45" customHeight="1" thickBot="1" x14ac:dyDescent="0.3">
      <c r="A23" s="43" t="s">
        <v>72</v>
      </c>
      <c r="B23" s="33">
        <f>24.7-5.56</f>
        <v>19.14</v>
      </c>
      <c r="C23" s="33" t="s">
        <v>10</v>
      </c>
      <c r="D23" s="33">
        <f>10.5-7.94</f>
        <v>2.5599999999999996</v>
      </c>
      <c r="E23" s="35">
        <v>1000</v>
      </c>
      <c r="F23" s="33"/>
      <c r="G23" s="35"/>
      <c r="H23" s="33">
        <f t="shared" si="0"/>
        <v>88.14</v>
      </c>
      <c r="I23" s="33">
        <v>16.690000000000001</v>
      </c>
      <c r="J23" s="33">
        <v>7.94</v>
      </c>
      <c r="K23" s="33">
        <f t="shared" si="1"/>
        <v>95.28</v>
      </c>
      <c r="L23" s="33">
        <f t="shared" si="2"/>
        <v>111.97</v>
      </c>
      <c r="M23" s="33">
        <f t="shared" si="3"/>
        <v>200.11</v>
      </c>
      <c r="N23" s="42" t="s">
        <v>71</v>
      </c>
    </row>
    <row r="24" spans="1:14" ht="63" customHeight="1" thickBot="1" x14ac:dyDescent="0.3">
      <c r="A24" s="44" t="s">
        <v>158</v>
      </c>
      <c r="B24" s="28">
        <v>1</v>
      </c>
      <c r="C24" s="28"/>
      <c r="D24" s="28">
        <f>10.55-6.23</f>
        <v>4.32</v>
      </c>
      <c r="E24" s="38">
        <v>1000</v>
      </c>
      <c r="F24" s="28"/>
      <c r="G24" s="38"/>
      <c r="H24" s="28">
        <f t="shared" si="0"/>
        <v>54.84</v>
      </c>
      <c r="I24" s="28">
        <v>16.690000000000001</v>
      </c>
      <c r="J24" s="28">
        <v>7.94</v>
      </c>
      <c r="K24" s="33">
        <f t="shared" si="1"/>
        <v>95.28</v>
      </c>
      <c r="L24" s="28">
        <f t="shared" si="2"/>
        <v>111.97</v>
      </c>
      <c r="M24" s="28">
        <f t="shared" si="3"/>
        <v>166.81</v>
      </c>
      <c r="N24" s="45" t="s">
        <v>159</v>
      </c>
    </row>
    <row r="25" spans="1:14" ht="36.75" thickBot="1" x14ac:dyDescent="0.3">
      <c r="A25" s="43" t="s">
        <v>172</v>
      </c>
      <c r="B25" s="33"/>
      <c r="C25" s="33" t="s">
        <v>10</v>
      </c>
      <c r="D25" s="33">
        <v>4.05</v>
      </c>
      <c r="E25" s="35">
        <v>1000</v>
      </c>
      <c r="F25" s="33"/>
      <c r="G25" s="35"/>
      <c r="H25" s="33">
        <f t="shared" si="0"/>
        <v>48.599999999999994</v>
      </c>
      <c r="I25" s="33">
        <v>16.690000000000001</v>
      </c>
      <c r="J25" s="33">
        <v>7.94</v>
      </c>
      <c r="K25" s="33">
        <f t="shared" si="1"/>
        <v>95.28</v>
      </c>
      <c r="L25" s="33">
        <f t="shared" si="2"/>
        <v>111.97</v>
      </c>
      <c r="M25" s="33">
        <f t="shared" si="3"/>
        <v>160.57</v>
      </c>
      <c r="N25" s="42" t="s">
        <v>78</v>
      </c>
    </row>
    <row r="26" spans="1:14" ht="24.75" thickBot="1" x14ac:dyDescent="0.3">
      <c r="A26" s="44" t="s">
        <v>126</v>
      </c>
      <c r="B26" s="28"/>
      <c r="C26" s="28" t="s">
        <v>10</v>
      </c>
      <c r="D26" s="28">
        <v>7.12</v>
      </c>
      <c r="E26" s="38">
        <v>1000</v>
      </c>
      <c r="F26" s="28"/>
      <c r="G26" s="38"/>
      <c r="H26" s="28">
        <f t="shared" si="0"/>
        <v>85.44</v>
      </c>
      <c r="I26" s="28">
        <v>16.690000000000001</v>
      </c>
      <c r="J26" s="28">
        <v>7.94</v>
      </c>
      <c r="K26" s="33">
        <f t="shared" si="1"/>
        <v>95.28</v>
      </c>
      <c r="L26" s="28">
        <f t="shared" si="2"/>
        <v>111.97</v>
      </c>
      <c r="M26" s="28">
        <f t="shared" si="3"/>
        <v>197.41</v>
      </c>
      <c r="N26" s="45" t="s">
        <v>127</v>
      </c>
    </row>
    <row r="27" spans="1:14" s="18" customFormat="1" ht="36.75" thickBot="1" x14ac:dyDescent="0.3">
      <c r="A27" s="43" t="s">
        <v>60</v>
      </c>
      <c r="B27" s="33">
        <f>16-(16.69/3)</f>
        <v>10.436666666666667</v>
      </c>
      <c r="C27" s="33"/>
      <c r="D27" s="33">
        <f>11.5-7.94</f>
        <v>3.5599999999999996</v>
      </c>
      <c r="E27" s="35">
        <v>1000</v>
      </c>
      <c r="F27" s="33"/>
      <c r="G27" s="35"/>
      <c r="H27" s="33">
        <f t="shared" si="0"/>
        <v>74.03</v>
      </c>
      <c r="I27" s="33">
        <v>16.690000000000001</v>
      </c>
      <c r="J27" s="33">
        <v>7.94</v>
      </c>
      <c r="K27" s="33">
        <f t="shared" si="1"/>
        <v>95.28</v>
      </c>
      <c r="L27" s="33">
        <f t="shared" si="2"/>
        <v>111.97</v>
      </c>
      <c r="M27" s="33">
        <f t="shared" si="3"/>
        <v>186</v>
      </c>
      <c r="N27" s="42" t="s">
        <v>63</v>
      </c>
    </row>
    <row r="28" spans="1:14" ht="105" customHeight="1" thickBot="1" x14ac:dyDescent="0.3">
      <c r="A28" s="44" t="s">
        <v>157</v>
      </c>
      <c r="B28" s="28"/>
      <c r="C28" s="28"/>
      <c r="D28" s="28">
        <f>67.5-16.69-(7.94*9)</f>
        <v>-20.650000000000006</v>
      </c>
      <c r="E28" s="38">
        <v>9000</v>
      </c>
      <c r="F28" s="28">
        <f>7.5-7.94</f>
        <v>-0.44000000000000039</v>
      </c>
      <c r="G28" s="38">
        <v>9001</v>
      </c>
      <c r="H28" s="28">
        <f>(D28)+(F28*3)</f>
        <v>-21.970000000000006</v>
      </c>
      <c r="I28" s="28">
        <v>16.690000000000001</v>
      </c>
      <c r="J28" s="28">
        <v>7.94</v>
      </c>
      <c r="K28" s="33">
        <f t="shared" si="1"/>
        <v>95.28</v>
      </c>
      <c r="L28" s="28">
        <f t="shared" si="2"/>
        <v>111.97</v>
      </c>
      <c r="M28" s="28">
        <f t="shared" si="3"/>
        <v>90</v>
      </c>
      <c r="N28" s="45" t="s">
        <v>162</v>
      </c>
    </row>
    <row r="29" spans="1:14" ht="86.25" customHeight="1" thickBot="1" x14ac:dyDescent="0.3">
      <c r="A29" s="44" t="s">
        <v>17</v>
      </c>
      <c r="B29" s="28"/>
      <c r="C29" s="28" t="s">
        <v>10</v>
      </c>
      <c r="D29" s="28">
        <f>(28.2-5.56-7.94)*3</f>
        <v>44.099999999999994</v>
      </c>
      <c r="E29" s="38">
        <v>3000</v>
      </c>
      <c r="F29" s="28">
        <f>13.9-7.94</f>
        <v>5.96</v>
      </c>
      <c r="G29" s="38">
        <v>1001</v>
      </c>
      <c r="H29" s="28">
        <f>(D29)+(F29*9)</f>
        <v>97.74</v>
      </c>
      <c r="I29" s="28">
        <v>16.690000000000001</v>
      </c>
      <c r="J29" s="28">
        <v>7.94</v>
      </c>
      <c r="K29" s="33">
        <f t="shared" si="1"/>
        <v>95.28</v>
      </c>
      <c r="L29" s="28">
        <f t="shared" si="2"/>
        <v>111.97</v>
      </c>
      <c r="M29" s="28">
        <f t="shared" si="3"/>
        <v>209.70999999999998</v>
      </c>
      <c r="N29" s="45" t="s">
        <v>209</v>
      </c>
    </row>
    <row r="30" spans="1:14" ht="48.75" thickBot="1" x14ac:dyDescent="0.3">
      <c r="A30" s="44" t="s">
        <v>173</v>
      </c>
      <c r="B30" s="28"/>
      <c r="C30" s="28">
        <f>36-16.69</f>
        <v>19.309999999999999</v>
      </c>
      <c r="D30" s="28">
        <f>7.15-7.94</f>
        <v>-0.79</v>
      </c>
      <c r="E30" s="38">
        <v>1000</v>
      </c>
      <c r="F30" s="28"/>
      <c r="G30" s="38"/>
      <c r="H30" s="28">
        <f>(C30)+(D30*12)</f>
        <v>9.8299999999999983</v>
      </c>
      <c r="I30" s="28">
        <v>16.690000000000001</v>
      </c>
      <c r="J30" s="28">
        <v>7.94</v>
      </c>
      <c r="K30" s="33">
        <f t="shared" si="1"/>
        <v>95.28</v>
      </c>
      <c r="L30" s="28">
        <f t="shared" si="2"/>
        <v>111.97</v>
      </c>
      <c r="M30" s="28">
        <f t="shared" si="3"/>
        <v>121.8</v>
      </c>
      <c r="N30" s="45" t="s">
        <v>104</v>
      </c>
    </row>
    <row r="31" spans="1:14" ht="60.75" thickBot="1" x14ac:dyDescent="0.3">
      <c r="A31" s="43" t="s">
        <v>11</v>
      </c>
      <c r="B31" s="33"/>
      <c r="C31" s="33"/>
      <c r="D31" s="33">
        <f>8.28*3</f>
        <v>24.839999999999996</v>
      </c>
      <c r="E31" s="35">
        <v>3000</v>
      </c>
      <c r="F31" s="33">
        <v>7.43</v>
      </c>
      <c r="G31" s="35">
        <v>3001</v>
      </c>
      <c r="H31" s="33">
        <f>D31+(F31*9)</f>
        <v>91.710000000000008</v>
      </c>
      <c r="I31" s="33">
        <v>16.690000000000001</v>
      </c>
      <c r="J31" s="33">
        <v>7.94</v>
      </c>
      <c r="K31" s="33">
        <f t="shared" si="1"/>
        <v>95.28</v>
      </c>
      <c r="L31" s="33">
        <f t="shared" si="2"/>
        <v>111.97</v>
      </c>
      <c r="M31" s="33">
        <f t="shared" si="3"/>
        <v>203.68</v>
      </c>
      <c r="N31" s="42" t="s">
        <v>76</v>
      </c>
    </row>
    <row r="32" spans="1:14" ht="75" customHeight="1" thickBot="1" x14ac:dyDescent="0.3">
      <c r="A32" s="44" t="s">
        <v>179</v>
      </c>
      <c r="B32" s="28"/>
      <c r="C32" s="28">
        <f>(13.34*3)-16.69</f>
        <v>23.329999999999995</v>
      </c>
      <c r="D32" s="28">
        <f>7-7.94</f>
        <v>-0.94000000000000039</v>
      </c>
      <c r="E32" s="38">
        <v>1000</v>
      </c>
      <c r="F32" s="28"/>
      <c r="G32" s="38"/>
      <c r="H32" s="28">
        <f>C32+(D32*12)</f>
        <v>12.04999999999999</v>
      </c>
      <c r="I32" s="28">
        <v>16.690000000000001</v>
      </c>
      <c r="J32" s="28">
        <v>7.94</v>
      </c>
      <c r="K32" s="33">
        <f t="shared" si="1"/>
        <v>95.28</v>
      </c>
      <c r="L32" s="28">
        <f t="shared" si="2"/>
        <v>111.97</v>
      </c>
      <c r="M32" s="28">
        <f>H32+L32</f>
        <v>124.01999999999998</v>
      </c>
      <c r="N32" s="45" t="s">
        <v>180</v>
      </c>
    </row>
    <row r="33" spans="1:14" ht="75" customHeight="1" thickBot="1" x14ac:dyDescent="0.3">
      <c r="A33" s="44" t="s">
        <v>94</v>
      </c>
      <c r="B33" s="28"/>
      <c r="C33" s="28">
        <f>23.73-16.69</f>
        <v>7.0399999999999991</v>
      </c>
      <c r="D33" s="28">
        <f>7.24-7.94</f>
        <v>-0.70000000000000018</v>
      </c>
      <c r="E33" s="38">
        <v>1000</v>
      </c>
      <c r="F33" s="28"/>
      <c r="G33" s="38"/>
      <c r="H33" s="28">
        <f>C33+(D33*12)</f>
        <v>-1.360000000000003</v>
      </c>
      <c r="I33" s="28">
        <v>16.690000000000001</v>
      </c>
      <c r="J33" s="28">
        <v>7.94</v>
      </c>
      <c r="K33" s="33">
        <f t="shared" si="1"/>
        <v>95.28</v>
      </c>
      <c r="L33" s="28">
        <f t="shared" si="2"/>
        <v>111.97</v>
      </c>
      <c r="M33" s="28">
        <f t="shared" si="3"/>
        <v>110.61</v>
      </c>
      <c r="N33" s="45" t="s">
        <v>93</v>
      </c>
    </row>
    <row r="34" spans="1:14" ht="62.25" customHeight="1" thickBot="1" x14ac:dyDescent="0.3">
      <c r="A34" s="44" t="s">
        <v>195</v>
      </c>
      <c r="B34" s="28"/>
      <c r="C34" s="28" t="s">
        <v>10</v>
      </c>
      <c r="D34" s="28">
        <f>13.94-7.94</f>
        <v>5.9999999999999991</v>
      </c>
      <c r="E34" s="38">
        <v>1000</v>
      </c>
      <c r="F34" s="28"/>
      <c r="G34" s="38"/>
      <c r="H34" s="28">
        <f t="shared" ref="H34:H41" si="4">(B34*3)+(D34*12)</f>
        <v>71.999999999999986</v>
      </c>
      <c r="I34" s="28">
        <v>16.690000000000001</v>
      </c>
      <c r="J34" s="28">
        <v>7.94</v>
      </c>
      <c r="K34" s="33">
        <f t="shared" si="1"/>
        <v>95.28</v>
      </c>
      <c r="L34" s="28">
        <f t="shared" si="2"/>
        <v>111.97</v>
      </c>
      <c r="M34" s="28">
        <f t="shared" si="3"/>
        <v>183.96999999999997</v>
      </c>
      <c r="N34" s="45" t="s">
        <v>194</v>
      </c>
    </row>
    <row r="35" spans="1:14" ht="30" customHeight="1" thickBot="1" x14ac:dyDescent="0.3">
      <c r="A35" s="44" t="s">
        <v>42</v>
      </c>
      <c r="B35" s="28"/>
      <c r="C35" s="28" t="s">
        <v>10</v>
      </c>
      <c r="D35" s="28">
        <v>3</v>
      </c>
      <c r="E35" s="38">
        <v>1000</v>
      </c>
      <c r="F35" s="28"/>
      <c r="G35" s="38"/>
      <c r="H35" s="28">
        <f t="shared" si="4"/>
        <v>36</v>
      </c>
      <c r="I35" s="28">
        <v>16.690000000000001</v>
      </c>
      <c r="J35" s="28">
        <v>7.94</v>
      </c>
      <c r="K35" s="33">
        <f t="shared" si="1"/>
        <v>95.28</v>
      </c>
      <c r="L35" s="28">
        <f t="shared" si="2"/>
        <v>111.97</v>
      </c>
      <c r="M35" s="28">
        <f t="shared" si="3"/>
        <v>147.97</v>
      </c>
      <c r="N35" s="45" t="s">
        <v>100</v>
      </c>
    </row>
    <row r="36" spans="1:14" ht="36.75" thickBot="1" x14ac:dyDescent="0.3">
      <c r="A36" s="44" t="s">
        <v>16</v>
      </c>
      <c r="B36" s="28">
        <v>6.44</v>
      </c>
      <c r="C36" s="28"/>
      <c r="D36" s="28">
        <v>3.56</v>
      </c>
      <c r="E36" s="38">
        <v>1000</v>
      </c>
      <c r="F36" s="28"/>
      <c r="G36" s="38"/>
      <c r="H36" s="28">
        <f t="shared" si="4"/>
        <v>62.04</v>
      </c>
      <c r="I36" s="28">
        <v>16.690000000000001</v>
      </c>
      <c r="J36" s="28">
        <v>7.94</v>
      </c>
      <c r="K36" s="33">
        <f t="shared" si="1"/>
        <v>95.28</v>
      </c>
      <c r="L36" s="28">
        <f>I36+K36</f>
        <v>111.97</v>
      </c>
      <c r="M36" s="28">
        <f t="shared" si="3"/>
        <v>174.01</v>
      </c>
      <c r="N36" s="45" t="s">
        <v>56</v>
      </c>
    </row>
    <row r="37" spans="1:14" ht="102.75" customHeight="1" thickBot="1" x14ac:dyDescent="0.3">
      <c r="A37" s="44" t="s">
        <v>196</v>
      </c>
      <c r="B37" s="28"/>
      <c r="C37" s="28"/>
      <c r="D37" s="28">
        <v>4.5</v>
      </c>
      <c r="E37" s="38">
        <v>1000</v>
      </c>
      <c r="F37" s="28"/>
      <c r="G37" s="38"/>
      <c r="H37" s="28">
        <f t="shared" si="4"/>
        <v>54</v>
      </c>
      <c r="I37" s="28">
        <v>16.690000000000001</v>
      </c>
      <c r="J37" s="28">
        <v>7.94</v>
      </c>
      <c r="K37" s="33">
        <f t="shared" si="1"/>
        <v>95.28</v>
      </c>
      <c r="L37" s="28">
        <f t="shared" ref="L37:L43" si="5">I37+K37</f>
        <v>111.97</v>
      </c>
      <c r="M37" s="28">
        <f t="shared" si="3"/>
        <v>165.97</v>
      </c>
      <c r="N37" s="45" t="s">
        <v>164</v>
      </c>
    </row>
    <row r="38" spans="1:14" ht="24.75" thickBot="1" x14ac:dyDescent="0.3">
      <c r="A38" s="44" t="s">
        <v>101</v>
      </c>
      <c r="B38" s="28"/>
      <c r="C38" s="28"/>
      <c r="D38" s="28"/>
      <c r="E38" s="38">
        <v>1000</v>
      </c>
      <c r="F38" s="28"/>
      <c r="G38" s="38"/>
      <c r="H38" s="28">
        <f t="shared" si="4"/>
        <v>0</v>
      </c>
      <c r="I38" s="28">
        <v>16.690000000000001</v>
      </c>
      <c r="J38" s="28">
        <v>7.94</v>
      </c>
      <c r="K38" s="33">
        <f t="shared" si="1"/>
        <v>95.28</v>
      </c>
      <c r="L38" s="28">
        <f t="shared" si="5"/>
        <v>111.97</v>
      </c>
      <c r="M38" s="28">
        <f t="shared" si="3"/>
        <v>111.97</v>
      </c>
      <c r="N38" s="45" t="s">
        <v>102</v>
      </c>
    </row>
    <row r="39" spans="1:14" ht="38.25" customHeight="1" thickBot="1" x14ac:dyDescent="0.3">
      <c r="A39" s="44" t="s">
        <v>18</v>
      </c>
      <c r="B39" s="28">
        <v>5.56</v>
      </c>
      <c r="C39" s="28" t="s">
        <v>10</v>
      </c>
      <c r="D39" s="28">
        <v>7.94</v>
      </c>
      <c r="E39" s="38">
        <v>1000</v>
      </c>
      <c r="F39" s="28"/>
      <c r="G39" s="38"/>
      <c r="H39" s="28">
        <f t="shared" si="4"/>
        <v>111.96000000000001</v>
      </c>
      <c r="I39" s="28">
        <v>16.690000000000001</v>
      </c>
      <c r="J39" s="28">
        <v>7.94</v>
      </c>
      <c r="K39" s="33">
        <f t="shared" si="1"/>
        <v>95.28</v>
      </c>
      <c r="L39" s="28">
        <f t="shared" si="5"/>
        <v>111.97</v>
      </c>
      <c r="M39" s="28">
        <f t="shared" si="3"/>
        <v>223.93</v>
      </c>
      <c r="N39" s="45" t="s">
        <v>95</v>
      </c>
    </row>
    <row r="40" spans="1:14" ht="54.75" customHeight="1" thickBot="1" x14ac:dyDescent="0.3">
      <c r="A40" s="44" t="s">
        <v>197</v>
      </c>
      <c r="B40" s="28">
        <f>6.84-5.56</f>
        <v>1.2800000000000002</v>
      </c>
      <c r="C40" s="28"/>
      <c r="D40" s="28">
        <f>12.49-7.94</f>
        <v>4.55</v>
      </c>
      <c r="E40" s="38">
        <v>1000</v>
      </c>
      <c r="F40" s="28"/>
      <c r="G40" s="38"/>
      <c r="H40" s="28">
        <f t="shared" si="4"/>
        <v>58.44</v>
      </c>
      <c r="I40" s="28">
        <v>16.690000000000001</v>
      </c>
      <c r="J40" s="28">
        <v>7.94</v>
      </c>
      <c r="K40" s="33">
        <f t="shared" si="1"/>
        <v>95.28</v>
      </c>
      <c r="L40" s="28">
        <f t="shared" si="5"/>
        <v>111.97</v>
      </c>
      <c r="M40" s="28">
        <f t="shared" si="3"/>
        <v>170.41</v>
      </c>
      <c r="N40" s="45" t="s">
        <v>198</v>
      </c>
    </row>
    <row r="41" spans="1:14" ht="36.75" thickBot="1" x14ac:dyDescent="0.3">
      <c r="A41" s="43" t="s">
        <v>65</v>
      </c>
      <c r="B41" s="33">
        <f>17-5.56</f>
        <v>11.440000000000001</v>
      </c>
      <c r="C41" s="33"/>
      <c r="D41" s="33">
        <f>8.58-7.94</f>
        <v>0.63999999999999968</v>
      </c>
      <c r="E41" s="35">
        <v>1000</v>
      </c>
      <c r="F41" s="33"/>
      <c r="G41" s="35"/>
      <c r="H41" s="33">
        <f t="shared" si="4"/>
        <v>42</v>
      </c>
      <c r="I41" s="33">
        <v>16.690000000000001</v>
      </c>
      <c r="J41" s="33">
        <v>7.94</v>
      </c>
      <c r="K41" s="33">
        <f t="shared" si="1"/>
        <v>95.28</v>
      </c>
      <c r="L41" s="33">
        <f t="shared" si="5"/>
        <v>111.97</v>
      </c>
      <c r="M41" s="33">
        <f t="shared" si="3"/>
        <v>153.97</v>
      </c>
      <c r="N41" s="42" t="s">
        <v>64</v>
      </c>
    </row>
    <row r="42" spans="1:14" ht="92.25" customHeight="1" thickBot="1" x14ac:dyDescent="0.3">
      <c r="A42" s="43" t="s">
        <v>174</v>
      </c>
      <c r="B42" s="33"/>
      <c r="C42" s="33"/>
      <c r="D42" s="33">
        <v>11.89</v>
      </c>
      <c r="E42" s="35">
        <v>4500</v>
      </c>
      <c r="F42" s="33">
        <v>2.5</v>
      </c>
      <c r="G42" s="35">
        <v>4501</v>
      </c>
      <c r="H42" s="33">
        <f>D42*3</f>
        <v>35.67</v>
      </c>
      <c r="I42" s="33">
        <v>16.690000000000001</v>
      </c>
      <c r="J42" s="33">
        <v>7.94</v>
      </c>
      <c r="K42" s="33">
        <f t="shared" si="1"/>
        <v>95.28</v>
      </c>
      <c r="L42" s="33">
        <f t="shared" si="5"/>
        <v>111.97</v>
      </c>
      <c r="M42" s="33">
        <f t="shared" si="3"/>
        <v>147.63999999999999</v>
      </c>
      <c r="N42" s="42" t="s">
        <v>208</v>
      </c>
    </row>
    <row r="43" spans="1:14" ht="74.25" customHeight="1" thickBot="1" x14ac:dyDescent="0.3">
      <c r="A43" s="44" t="s">
        <v>21</v>
      </c>
      <c r="B43" s="28"/>
      <c r="C43" s="28"/>
      <c r="D43" s="28">
        <v>6</v>
      </c>
      <c r="E43" s="38">
        <v>600</v>
      </c>
      <c r="F43" s="28">
        <f>12.54-7.94</f>
        <v>4.5999999999999988</v>
      </c>
      <c r="G43" s="38">
        <v>601</v>
      </c>
      <c r="H43" s="28">
        <f>D43+(F43*11.4)</f>
        <v>58.439999999999991</v>
      </c>
      <c r="I43" s="28">
        <v>16.690000000000001</v>
      </c>
      <c r="J43" s="28">
        <v>7.94</v>
      </c>
      <c r="K43" s="33">
        <f t="shared" si="1"/>
        <v>95.28</v>
      </c>
      <c r="L43" s="28">
        <f t="shared" si="5"/>
        <v>111.97</v>
      </c>
      <c r="M43" s="28">
        <f t="shared" si="3"/>
        <v>170.41</v>
      </c>
      <c r="N43" s="45" t="s">
        <v>200</v>
      </c>
    </row>
    <row r="44" spans="1:14" x14ac:dyDescent="0.25">
      <c r="A44" s="7"/>
      <c r="B44" s="15"/>
      <c r="C44" s="15"/>
      <c r="D44" s="15"/>
      <c r="E44" s="16"/>
      <c r="F44" s="16"/>
      <c r="G44" s="17"/>
      <c r="H44" s="15"/>
      <c r="I44" s="15"/>
      <c r="J44" s="15"/>
      <c r="K44" s="15"/>
      <c r="L44" s="15"/>
      <c r="M44" s="15"/>
      <c r="N44" s="2"/>
    </row>
    <row r="45" spans="1:14" x14ac:dyDescent="0.25">
      <c r="A45" s="13" t="s">
        <v>12</v>
      </c>
      <c r="B45" s="5" t="s">
        <v>53</v>
      </c>
      <c r="N45" s="2"/>
    </row>
    <row r="47" spans="1:14" x14ac:dyDescent="0.25">
      <c r="B47" s="5" t="s">
        <v>203</v>
      </c>
      <c r="L47" s="5" t="s">
        <v>10</v>
      </c>
      <c r="M47" s="14" t="s">
        <v>10</v>
      </c>
    </row>
    <row r="48" spans="1:14" ht="17.25" x14ac:dyDescent="0.25">
      <c r="B48" s="9"/>
      <c r="M48" s="14"/>
    </row>
  </sheetData>
  <sheetProtection formatCells="0" formatColumns="0" formatRows="0"/>
  <pageMargins left="0.7" right="0.7" top="0.75" bottom="0.75" header="0.3" footer="0.3"/>
  <pageSetup paperSize="17" scale="5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ALCOSAN Eastern Basin</vt:lpstr>
      <vt:lpstr>ALCOSAN Northern Basin</vt:lpstr>
      <vt:lpstr>ALCOSAN Southern Basin</vt:lpstr>
      <vt:lpstr>'ALCOSAN Eastern Basin'!Print_Area</vt:lpstr>
      <vt:lpstr>'ALCOSAN Northern Basin'!Print_Area</vt:lpstr>
      <vt:lpstr>'ALCOSAN Southern Basin'!Print_Area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jbrown</dc:creator>
  <cp:lastModifiedBy>tschubert</cp:lastModifiedBy>
  <cp:lastPrinted>2019-04-23T17:46:03Z</cp:lastPrinted>
  <dcterms:created xsi:type="dcterms:W3CDTF">2010-10-20T16:43:27Z</dcterms:created>
  <dcterms:modified xsi:type="dcterms:W3CDTF">2020-03-23T15:22:54Z</dcterms:modified>
</cp:coreProperties>
</file>