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615" windowWidth="28860" windowHeight="11805"/>
  </bookViews>
  <sheets>
    <sheet name="ALCOSAN Eastern Basin" sheetId="1" r:id="rId1"/>
    <sheet name="ALCOSAN Northern Basin" sheetId="2" r:id="rId2"/>
    <sheet name="ALCOSAN Southern Basin" sheetId="3" r:id="rId3"/>
  </sheets>
  <definedNames>
    <definedName name="_xlnm.Print_Area" localSheetId="0">'ALCOSAN Eastern Basin'!$A$1:$M$33</definedName>
    <definedName name="_xlnm.Print_Area" localSheetId="1">'ALCOSAN Northern Basin'!$A$5:$M$36</definedName>
    <definedName name="_xlnm.Print_Area" localSheetId="2">'ALCOSAN Southern Basin'!$A$1:$M$43</definedName>
  </definedNames>
  <calcPr calcId="125725"/>
</workbook>
</file>

<file path=xl/calcChain.xml><?xml version="1.0" encoding="utf-8"?>
<calcChain xmlns="http://schemas.openxmlformats.org/spreadsheetml/2006/main">
  <c r="D20" i="1"/>
  <c r="C24" i="2"/>
  <c r="D31" i="3"/>
  <c r="H31" s="1"/>
  <c r="H29" i="2"/>
  <c r="D29"/>
  <c r="H23" i="1"/>
  <c r="D23"/>
  <c r="M14"/>
  <c r="D13" l="1"/>
  <c r="F35" i="2"/>
  <c r="D35"/>
  <c r="H35" s="1"/>
  <c r="D26"/>
  <c r="C36" i="3"/>
  <c r="D31" i="2"/>
  <c r="D30"/>
  <c r="C8" i="1"/>
  <c r="H31"/>
  <c r="H25" i="2"/>
  <c r="H15"/>
  <c r="B15" i="3"/>
  <c r="C25" i="1" l="1"/>
  <c r="C13"/>
  <c r="F19"/>
  <c r="H28" i="2" l="1"/>
  <c r="H16" i="1"/>
  <c r="H13" i="3"/>
  <c r="D30"/>
  <c r="C30"/>
  <c r="H35" l="1"/>
  <c r="D12" i="1" l="1"/>
  <c r="D41" i="3" l="1"/>
  <c r="B8" l="1"/>
  <c r="D8"/>
  <c r="H27" i="1"/>
  <c r="D28" i="3"/>
  <c r="H36"/>
  <c r="D30" i="1" l="1"/>
  <c r="H31" i="2"/>
  <c r="H30"/>
  <c r="H24" i="1"/>
  <c r="H19" i="2" l="1"/>
  <c r="D20" i="3" l="1"/>
  <c r="B20"/>
  <c r="C13" i="2"/>
  <c r="D13"/>
  <c r="D11" i="3"/>
  <c r="B11"/>
  <c r="D43"/>
  <c r="D15"/>
  <c r="H15" s="1"/>
  <c r="D8" i="1"/>
  <c r="D24" i="2"/>
  <c r="C22" i="1"/>
  <c r="F12"/>
  <c r="H12" s="1"/>
  <c r="D22" i="3"/>
  <c r="D27"/>
  <c r="B27"/>
  <c r="D29"/>
  <c r="F29"/>
  <c r="B10"/>
  <c r="D10"/>
  <c r="C33"/>
  <c r="H33" s="1"/>
  <c r="F21" i="1"/>
  <c r="D2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8"/>
  <c r="K9" i="2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8"/>
  <c r="D23" i="3"/>
  <c r="B23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8"/>
  <c r="C16" i="2"/>
  <c r="H13" l="1"/>
  <c r="H30" i="3"/>
  <c r="H26" i="1"/>
  <c r="D19" i="3"/>
  <c r="B41"/>
  <c r="H34" i="2" l="1"/>
  <c r="H19" i="1" l="1"/>
  <c r="H18"/>
  <c r="H13"/>
  <c r="H26" i="2"/>
  <c r="H23" i="3" l="1"/>
  <c r="L29" i="2"/>
  <c r="H22" i="1"/>
  <c r="L23"/>
  <c r="H21"/>
  <c r="H10"/>
  <c r="H11"/>
  <c r="H14"/>
  <c r="H15"/>
  <c r="H17"/>
  <c r="H28"/>
  <c r="H29"/>
  <c r="H32"/>
  <c r="H33"/>
  <c r="H9"/>
  <c r="H8"/>
  <c r="H9" i="2"/>
  <c r="H10"/>
  <c r="H11"/>
  <c r="H12"/>
  <c r="H20"/>
  <c r="H21"/>
  <c r="H22"/>
  <c r="H23"/>
  <c r="H24"/>
  <c r="H27"/>
  <c r="H32"/>
  <c r="H33"/>
  <c r="H36"/>
  <c r="H8"/>
  <c r="H9" i="3"/>
  <c r="H11"/>
  <c r="H12"/>
  <c r="H14"/>
  <c r="H16"/>
  <c r="H17"/>
  <c r="H18"/>
  <c r="H21"/>
  <c r="H25"/>
  <c r="H26"/>
  <c r="H34"/>
  <c r="H37"/>
  <c r="H38"/>
  <c r="H40"/>
  <c r="H43"/>
  <c r="H29"/>
  <c r="D24"/>
  <c r="H24" s="1"/>
  <c r="D14" i="2"/>
  <c r="H14" s="1"/>
  <c r="H39" i="3"/>
  <c r="H22"/>
  <c r="C18" i="2"/>
  <c r="D18"/>
  <c r="D17"/>
  <c r="C17"/>
  <c r="H18" l="1"/>
  <c r="H17"/>
  <c r="H20" i="1"/>
  <c r="H10" i="3"/>
  <c r="M23" i="1"/>
  <c r="M29" i="2"/>
  <c r="H27" i="3"/>
  <c r="H8"/>
  <c r="H41"/>
  <c r="H28"/>
  <c r="H20"/>
  <c r="H32"/>
  <c r="H25" i="1"/>
  <c r="H16" i="2"/>
  <c r="H19" i="3" l="1"/>
  <c r="M32"/>
  <c r="L43" l="1"/>
  <c r="L42"/>
  <c r="L41"/>
  <c r="L40"/>
  <c r="L39"/>
  <c r="L38"/>
  <c r="L37"/>
  <c r="L36"/>
  <c r="L35"/>
  <c r="L34"/>
  <c r="L33"/>
  <c r="L31"/>
  <c r="L30"/>
  <c r="L29"/>
  <c r="M29" s="1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36" i="2"/>
  <c r="L35"/>
  <c r="M35" s="1"/>
  <c r="L34"/>
  <c r="M34" s="1"/>
  <c r="L33"/>
  <c r="M33" s="1"/>
  <c r="L32"/>
  <c r="M32" s="1"/>
  <c r="L31"/>
  <c r="M31" s="1"/>
  <c r="L30"/>
  <c r="M30" s="1"/>
  <c r="L28"/>
  <c r="M28" s="1"/>
  <c r="L27"/>
  <c r="L26"/>
  <c r="L25"/>
  <c r="M25" s="1"/>
  <c r="L24"/>
  <c r="L23"/>
  <c r="L22"/>
  <c r="L21"/>
  <c r="L20"/>
  <c r="L19"/>
  <c r="M19" s="1"/>
  <c r="L18"/>
  <c r="L17"/>
  <c r="L16"/>
  <c r="M16" s="1"/>
  <c r="L15"/>
  <c r="M15" s="1"/>
  <c r="L14"/>
  <c r="M14" s="1"/>
  <c r="L13"/>
  <c r="M13" s="1"/>
  <c r="L12"/>
  <c r="L11"/>
  <c r="L10"/>
  <c r="M10" s="1"/>
  <c r="L9"/>
  <c r="L8"/>
  <c r="L33" i="1"/>
  <c r="L32"/>
  <c r="L31"/>
  <c r="L30"/>
  <c r="L29"/>
  <c r="L28"/>
  <c r="L27"/>
  <c r="M27" s="1"/>
  <c r="L26"/>
  <c r="L25"/>
  <c r="M25" s="1"/>
  <c r="L24"/>
  <c r="M24" s="1"/>
  <c r="L22"/>
  <c r="L21"/>
  <c r="L20"/>
  <c r="M20" s="1"/>
  <c r="L19"/>
  <c r="M19" s="1"/>
  <c r="L18"/>
  <c r="L17"/>
  <c r="L16"/>
  <c r="M16" s="1"/>
  <c r="L15"/>
  <c r="M15" s="1"/>
  <c r="L14"/>
  <c r="L13"/>
  <c r="M13" s="1"/>
  <c r="L12"/>
  <c r="M12" s="1"/>
  <c r="L11"/>
  <c r="L10"/>
  <c r="L9"/>
  <c r="L8"/>
  <c r="M17" i="2" l="1"/>
  <c r="M10" i="3"/>
  <c r="M18" i="2"/>
  <c r="M24"/>
  <c r="M20"/>
  <c r="M21"/>
  <c r="M22"/>
  <c r="M23"/>
  <c r="M26"/>
  <c r="M27"/>
  <c r="M36"/>
  <c r="M9"/>
  <c r="M11"/>
  <c r="M12"/>
  <c r="M8"/>
  <c r="M21" i="1"/>
  <c r="M22"/>
  <c r="M18"/>
  <c r="M9"/>
  <c r="M10"/>
  <c r="M11"/>
  <c r="M17"/>
  <c r="M26"/>
  <c r="M28"/>
  <c r="M29"/>
  <c r="M30"/>
  <c r="M31"/>
  <c r="M32"/>
  <c r="M33"/>
  <c r="M8"/>
  <c r="M16" i="3"/>
  <c r="M17"/>
  <c r="M18"/>
  <c r="M19"/>
  <c r="M20"/>
  <c r="M21"/>
  <c r="M22"/>
  <c r="M23"/>
  <c r="M24"/>
  <c r="M25"/>
  <c r="M26"/>
  <c r="M27"/>
  <c r="M28"/>
  <c r="M30"/>
  <c r="M31"/>
  <c r="M33"/>
  <c r="M34"/>
  <c r="M35"/>
  <c r="M36"/>
  <c r="M37"/>
  <c r="M38"/>
  <c r="M39"/>
  <c r="M40"/>
  <c r="M41"/>
  <c r="M42"/>
  <c r="M43"/>
  <c r="M8"/>
  <c r="M9"/>
  <c r="M11"/>
  <c r="M12"/>
  <c r="M13"/>
  <c r="M14"/>
  <c r="M15"/>
</calcChain>
</file>

<file path=xl/sharedStrings.xml><?xml version="1.0" encoding="utf-8"?>
<sst xmlns="http://schemas.openxmlformats.org/spreadsheetml/2006/main" count="300" uniqueCount="213">
  <si>
    <t>Eastern Basin</t>
  </si>
  <si>
    <t>NOTES</t>
  </si>
  <si>
    <t xml:space="preserve">    Service Charge</t>
  </si>
  <si>
    <t>Tier 1*</t>
  </si>
  <si>
    <t>ALCOSAN Charge</t>
  </si>
  <si>
    <t>Monthly</t>
  </si>
  <si>
    <t>Quarterly</t>
  </si>
  <si>
    <t>Rate</t>
  </si>
  <si>
    <t>Gallons</t>
  </si>
  <si>
    <t>from</t>
  </si>
  <si>
    <t>Service Fee</t>
  </si>
  <si>
    <t xml:space="preserve"> </t>
  </si>
  <si>
    <t>Flat Rate</t>
  </si>
  <si>
    <t>Residential</t>
  </si>
  <si>
    <t>Penn Township</t>
  </si>
  <si>
    <t>Pittsburgh</t>
  </si>
  <si>
    <t>Trafford</t>
  </si>
  <si>
    <t>NOTES:</t>
  </si>
  <si>
    <t>Northern Basin</t>
  </si>
  <si>
    <t>Sharpsburg</t>
  </si>
  <si>
    <t>Southern Basin</t>
  </si>
  <si>
    <t>South Fayette</t>
  </si>
  <si>
    <t>Oakdale</t>
  </si>
  <si>
    <t>Upper St. Clair</t>
  </si>
  <si>
    <t>Brentwood</t>
  </si>
  <si>
    <t>Bethel Park</t>
  </si>
  <si>
    <t>Kennedy</t>
  </si>
  <si>
    <t>Wall</t>
  </si>
  <si>
    <t>$6.00/thous gallon surcharge over ALCOSAN rates unchanged in 2012 per HMA management  7-19-12 phone call</t>
  </si>
  <si>
    <t>Pleasant Hills</t>
  </si>
  <si>
    <t>Carnegie</t>
  </si>
  <si>
    <t xml:space="preserve">Neville </t>
  </si>
  <si>
    <t>Homestead</t>
  </si>
  <si>
    <t>Whitehall</t>
  </si>
  <si>
    <t>Monroeville</t>
  </si>
  <si>
    <t>Green Tree</t>
  </si>
  <si>
    <t>Collier</t>
  </si>
  <si>
    <t>Bridgeville</t>
  </si>
  <si>
    <t>Ohio Twp. Sanitary Auth.</t>
  </si>
  <si>
    <t xml:space="preserve">Etna </t>
  </si>
  <si>
    <t>West Mifflin</t>
  </si>
  <si>
    <t>-</t>
  </si>
  <si>
    <t>Pitcairn</t>
  </si>
  <si>
    <t>Castle Shannon</t>
  </si>
  <si>
    <t xml:space="preserve">Robinson </t>
  </si>
  <si>
    <t xml:space="preserve">Billed by WPWJWA.  Per email from Eileen Navish 3/15/17, East Pittsburgh local ratesiare 50% of ALCOSAN charges. </t>
  </si>
  <si>
    <t>Heidelberg</t>
  </si>
  <si>
    <t>As per email from Joe Hartzell, 3/17/17  rates remain the same as 2016 plus ALCOSAN increase.</t>
  </si>
  <si>
    <t>Indiana - Middle Rd. Ext.</t>
  </si>
  <si>
    <t>Direct Bill by ALCOSAN…3/24/17 email from Dorothy Falk</t>
  </si>
  <si>
    <t>West Homestead</t>
  </si>
  <si>
    <t>As per email from Ruth Pompey, 5/1/17: no change from 2016</t>
  </si>
  <si>
    <t xml:space="preserve">Swissvale </t>
  </si>
  <si>
    <t>5/2/17 Per phone call; $3.50/kg plus ALCOSAN fees</t>
  </si>
  <si>
    <t>No change from 2016 except for ALCOSAN increases. 5/3/17 email from DR Henderson</t>
  </si>
  <si>
    <t>Per Enoch Jenkinsemail 1/15/18.  $36.00 s/c; $7.15/MG</t>
  </si>
  <si>
    <t>McDonald</t>
  </si>
  <si>
    <t>Per Gloria Stroop 1/15/18  email $24.7/SC; $10.50/MG incls. ALCOSAN rates</t>
  </si>
  <si>
    <t>Per Jerry Brown in 1/15/18 email reduced monthly service fee to $6.80; rate per MG $3.34.   Above rates plus all ALCOSAN charges.</t>
  </si>
  <si>
    <t xml:space="preserve">Per email from Marla Stevens, 1/12/18. ALCOSAN provides minimal service, they have their own treatment plant </t>
  </si>
  <si>
    <t>Email from Ann Scott, 1/12/18. $8.40/kg &amp; $2.25 sewer fee per bill</t>
  </si>
  <si>
    <t>Per Jordan Tax 1/12/18; $13.52/kg plus $4.84/m scv charge.  Includes ALCOSAN fees</t>
  </si>
  <si>
    <t>Info from email from Julie Bastianini 1/12/18; No change from 2017</t>
  </si>
  <si>
    <t>As per email from Tom Hartswick 1/12/18; $6.60/MG</t>
  </si>
  <si>
    <t>As per email from Michele George,1/12/18; $12.75/MG incl. ALCOSAN</t>
  </si>
  <si>
    <t>1/12/18 Email from Mike Branthoover. No change from 2017</t>
  </si>
  <si>
    <t>Base rate of $60.76 plus $9.40/MG includes ALCOSAN: 1/12/18 email from LuAnn Barna</t>
  </si>
  <si>
    <t>As per email from Steve Morus 1/12/18; no change</t>
  </si>
  <si>
    <t>Email from Annie McElfresh 1/12/18. $88.47/3KG; $8.60/KG over 3KG. Includes ALCSAN fees</t>
  </si>
  <si>
    <t xml:space="preserve">No rate change from 2017 per Lorraine Makatura email dated 1/11/18.  </t>
  </si>
  <si>
    <t>Per email from Denise Raves 1/11/18 no change from 2016</t>
  </si>
  <si>
    <t>Verona</t>
  </si>
  <si>
    <t>1/12/18 email from Donna Perry</t>
  </si>
  <si>
    <t>No change from 2016 Per Marie Incovati email 1/11/18</t>
  </si>
  <si>
    <t>Per email from Carolyn Hoffman, 1/11/18</t>
  </si>
  <si>
    <t>As per email from Lori Collins 1/11/18</t>
  </si>
  <si>
    <t>Per 1/11/18 email from Joe Villela total charge is $9/thous plus $15 monthly service charge including all ALCOSAN charges</t>
  </si>
  <si>
    <t>As per email from Dave Montz 1/11/18</t>
  </si>
  <si>
    <t xml:space="preserve">Rate information from Kelly Rohbek on 1/16/18;  Oakdale 2018 rates including all ALCOSAN charges consist of a $26.35 monthly fee for the first 1,000 gallons, then $12.90 per thousand. </t>
  </si>
  <si>
    <t>1/16/18 email from Tom O'Grady: no change</t>
  </si>
  <si>
    <t>Per 1/15/18 email from J. Kording: scvs $6.23 bi-mothly &amp; $2/KG</t>
  </si>
  <si>
    <t>1/16/18 Email from Jackie Coles, $16.00/Mo. Scvs cgharge &amp; $11.50/KG.  Includes ALCOSAN fees</t>
  </si>
  <si>
    <t>No change from 2017 Per1/16/18 email from Denise Fitzgerald</t>
  </si>
  <si>
    <t>Email 1/17/18 from Gerald Orsini.  Total charge per thous galls including ALCOSAN charges is $9.10.</t>
  </si>
  <si>
    <t xml:space="preserve"> Per 1/17/18 email from Barb Ruhie</t>
  </si>
  <si>
    <t xml:space="preserve">Indiana - Ottawa </t>
  </si>
  <si>
    <t xml:space="preserve">Indiana - Fairview </t>
  </si>
  <si>
    <t xml:space="preserve">Indiana - Middle Rd. I &amp; II </t>
  </si>
  <si>
    <t>As per email from Candy Wygonil 1/18/18</t>
  </si>
  <si>
    <t>East McKeesport</t>
  </si>
  <si>
    <t xml:space="preserve">Per 1/22/18 email from Connie Rosenbayger. </t>
  </si>
  <si>
    <t>Per 1/19/18 email from Jean Warren, NO CHANGE FROM 2017 EXCEPT ALCOSAN fees</t>
  </si>
  <si>
    <t>As per email from Julie Pantalone 1/22/18</t>
  </si>
  <si>
    <t>Per email from Annette Dietz 1/19/18. Rate for 2018 $2.50 s.c; $4.50/KG; plus ALCOSAN fees.</t>
  </si>
  <si>
    <t>2/1/18 email from Patricia Logo No change from 2017</t>
  </si>
  <si>
    <t>Per Bob Grimm email 2/7/18; no change from 2017</t>
  </si>
  <si>
    <t>Email 2/7/18 from Ashley Stack. $6.00/KG; Debt Scv $18/cycle plus ALCOSAN fees</t>
  </si>
  <si>
    <t>No change from 2017. Email from Teresa Windstein 2/7/18</t>
  </si>
  <si>
    <t xml:space="preserve">Reserve </t>
  </si>
  <si>
    <t>Reserve - Girtys Run Cust.</t>
  </si>
  <si>
    <t>No change from 2017. Email from Bruce Fromlak 2/7/18</t>
  </si>
  <si>
    <t>As per email from Gary Koehler, 2/7/18 No Change</t>
  </si>
  <si>
    <t>2/7/18 Email fromKathy Taschner. No change from 2017</t>
  </si>
  <si>
    <t>From 2/7/18 email from R. Hopkinson  No rate change for 2017.  Remains $7.12/thousand plus all ALCOSAN charges.</t>
  </si>
  <si>
    <t>No change from 2017. Email from Ann Moss 2/8/18+</t>
  </si>
  <si>
    <t xml:space="preserve">No rate change from 2017 per Harry Dilmore email dated 2/8/18.  </t>
  </si>
  <si>
    <t>2/8/18 email from Nicole Patterson. No change from 2017+</t>
  </si>
  <si>
    <t>Email from K. Schwoegl, 2/8/18 No change from 2017+</t>
  </si>
  <si>
    <t>As per email on 2/8/18 from Rob Zahorchak Baldwin Twp's 2017 rate remain unchanged.</t>
  </si>
  <si>
    <t>Email 2/8/18 from Eileen Navish. Adds 35% of ALCOSAN's fees as a surcharge</t>
  </si>
  <si>
    <t>Per3/6/18 email from Jim Leventry. $11.72/kg including ALCOSAN fees.`</t>
  </si>
  <si>
    <t>Direct Bill by ALCOSAN; No local mark-up perDenise raves emial 3/6/18</t>
  </si>
  <si>
    <t>Email from George Zboyovsky 3/6/18.  Monthly service charge of $4.57 plus $8.92 per thous gallons plus all ALCOSAN charges</t>
  </si>
  <si>
    <t>3/6/18 email from D. Stecko $4.00/kg</t>
  </si>
  <si>
    <t>As per email from Donna McMichael 3/6/18</t>
  </si>
  <si>
    <t>As per email from Amy Rockwell 3/6/18</t>
  </si>
  <si>
    <t>As per email from Rebecca Bradley 3/6/18  $2.50/kg plus ALCOSAN</t>
  </si>
  <si>
    <t>As per email fromSue Brown 3/7/18. Billing is bi-monthly: $16.66 S.C/billing; $3.77/KG. Does not include ALCOSAN fees</t>
  </si>
  <si>
    <t>Per 3/7/18 email from John Stinner, rates have not changed for 2017</t>
  </si>
  <si>
    <t>No change in 2018 effective local rate of $1.73/thous plus ALCOSAN fees  Billed by ALCOSAN</t>
  </si>
  <si>
    <t>3/8/18 email from Borough Mgr.   Service charge $9.27 and $10.87/kg fee includes ALCOSAN rates.</t>
  </si>
  <si>
    <t>3/9/18 email from Janice Adamski. No change from 2017</t>
  </si>
  <si>
    <t>Taken from PWSA Website</t>
  </si>
  <si>
    <t>From PWSA Website</t>
  </si>
  <si>
    <r>
      <t>Thornburg</t>
    </r>
    <r>
      <rPr>
        <vertAlign val="superscript"/>
        <sz val="11"/>
        <rFont val="Calibri"/>
        <family val="2"/>
        <scheme val="minor"/>
      </rPr>
      <t>x</t>
    </r>
  </si>
  <si>
    <t xml:space="preserve">Email from Donna Kaib 2/7/18.   $9.42/kg including ALCOSAN rate </t>
  </si>
  <si>
    <t xml:space="preserve">Email from Donna Kaib 2/7/18.   $11.92/kg including ALCOSAN rate. </t>
  </si>
  <si>
    <t xml:space="preserve">McCandless </t>
  </si>
  <si>
    <t>2018 Residential Rate Comparison</t>
  </si>
  <si>
    <t>Per 1/12/18 email from Valentina Lachimia,  Wall charges a $119.61 for the first 10,000 gallons of use that includes all ALCOSAN charges.  For water consumption above 10,000 gallons per quarter, the additional charge is $1.50/1 KG.</t>
  </si>
  <si>
    <t>Base</t>
  </si>
  <si>
    <t xml:space="preserve"> Email from John Barrett 2/7/18 - No change for 2018 ALCOSAN rates are included in fee structure.</t>
  </si>
  <si>
    <t>As per email from Mona Costanza, 3/6/18. Rates remain same as 2017.  $30.70 for 250 cu ft (minimum) and 3.70 per 100 cu. Ft over that first 250. Includes ALCOSAN fees.</t>
  </si>
  <si>
    <t>Per Doug Sample email on 1/13/18, no change from 2017 other than ALCOSAN</t>
  </si>
  <si>
    <t>No change from 2017. Email from Cheryl Sorrentino Borough Secretary 1/11/18</t>
  </si>
  <si>
    <t xml:space="preserve">Email from Doug Marguriet 1/12/18.  No change from 2017. Note: WPJWA does the billing; checked online.  Lists rate as $5.75/1,000 so revised 2017 and 2018 to reflect that rate. </t>
  </si>
  <si>
    <t>Multiplier set at 2.05 times ALCOSAN rates….service charge $5.465 &amp; $7.79/KG Email from Mark Rimito 1/12/18</t>
  </si>
  <si>
    <t xml:space="preserve">Verona customers are ALCOSAN direct billed. $1.58/MG &amp; $3.40/Q SC. </t>
  </si>
  <si>
    <t xml:space="preserve">As per 1/19/18 email from Shane Lanham, no change </t>
  </si>
  <si>
    <t>As per email from Lori Thompson 3/7/18. $12.65/kg, $6.20 monthly s.c. includes ALCOSAN fees</t>
  </si>
  <si>
    <t>From PWSA Website (needs clarification because 7.71 is minimum charge but how many 1,000 gallons does that represent?</t>
  </si>
  <si>
    <r>
      <t>Franklin Park - Bear Run</t>
    </r>
    <r>
      <rPr>
        <vertAlign val="superscript"/>
        <sz val="11"/>
        <rFont val="Calibri"/>
        <family val="2"/>
        <scheme val="minor"/>
      </rPr>
      <t>x</t>
    </r>
  </si>
  <si>
    <r>
      <t>Franklin Park - Lowries Run</t>
    </r>
    <r>
      <rPr>
        <vertAlign val="superscript"/>
        <sz val="11"/>
        <rFont val="Calibri"/>
        <family val="2"/>
        <scheme val="minor"/>
      </rPr>
      <t>x</t>
    </r>
  </si>
  <si>
    <t>Taken from http://www.foxchapelwater.com/rates-and-fees/</t>
  </si>
  <si>
    <t>O'Hara</t>
  </si>
  <si>
    <r>
      <t>McKees Rocks</t>
    </r>
    <r>
      <rPr>
        <vertAlign val="superscript"/>
        <sz val="11"/>
        <rFont val="Calibri"/>
        <family val="2"/>
        <scheme val="minor"/>
      </rPr>
      <t>x</t>
    </r>
  </si>
  <si>
    <r>
      <t xml:space="preserve">Rosslyn Farms </t>
    </r>
    <r>
      <rPr>
        <b/>
        <vertAlign val="superscript"/>
        <sz val="11"/>
        <rFont val="Calibri"/>
        <family val="2"/>
        <scheme val="minor"/>
      </rPr>
      <t>x</t>
    </r>
  </si>
  <si>
    <t>E-mail 2/7/18 from Jeanne Creese; no change from 2017 17.30/1,000 includes ALCOSAN charge. 10.61 service fee.  Muni absorbs difference from ALCOSAN 15.60 charge.</t>
  </si>
  <si>
    <t>Per 1/15/18 email from J. Kording: scvs $8.50 minimum charge for 3,000 gal. &amp; $2.50/KG after that.  No service charge.</t>
  </si>
  <si>
    <t>Braddock</t>
  </si>
  <si>
    <t>Braddock Hills</t>
  </si>
  <si>
    <t>Chalfant</t>
  </si>
  <si>
    <t>Churchill</t>
  </si>
  <si>
    <t>East Pittsburgh</t>
  </si>
  <si>
    <t>Edgewood</t>
  </si>
  <si>
    <t>Forest Hills</t>
  </si>
  <si>
    <t>North Braddock</t>
  </si>
  <si>
    <t>North Huntingdon</t>
  </si>
  <si>
    <t xml:space="preserve">North Versailles </t>
  </si>
  <si>
    <t>Penn Hills</t>
  </si>
  <si>
    <t>Plum**</t>
  </si>
  <si>
    <t>Rankin</t>
  </si>
  <si>
    <t>** For Plum Borough, rates are based on cubic feet…..these values converted to gallons for this comparison.</t>
  </si>
  <si>
    <t>Turtle Creek</t>
  </si>
  <si>
    <t>Wilkins</t>
  </si>
  <si>
    <t>Wilkinsburg</t>
  </si>
  <si>
    <t>Wilmerding</t>
  </si>
  <si>
    <t xml:space="preserve">Aspinwall </t>
  </si>
  <si>
    <t xml:space="preserve">Avalon </t>
  </si>
  <si>
    <t>Bellevue</t>
  </si>
  <si>
    <t>Ben Avon</t>
  </si>
  <si>
    <t>Ben Avon Heights</t>
  </si>
  <si>
    <t xml:space="preserve">Blawnox </t>
  </si>
  <si>
    <t xml:space="preserve">Emsworth </t>
  </si>
  <si>
    <t>Fox Chapel</t>
  </si>
  <si>
    <t>Kilbuck</t>
  </si>
  <si>
    <t xml:space="preserve">Millvale - Girty's Run </t>
  </si>
  <si>
    <t xml:space="preserve">Ross </t>
  </si>
  <si>
    <t>Shaler</t>
  </si>
  <si>
    <t>Shaler - Girty's Run Area</t>
  </si>
  <si>
    <t xml:space="preserve">West View </t>
  </si>
  <si>
    <t>Baldwin Borough</t>
  </si>
  <si>
    <t>Baldwin Township</t>
  </si>
  <si>
    <t>Crafton</t>
  </si>
  <si>
    <t xml:space="preserve">Dormont </t>
  </si>
  <si>
    <t>Ingram</t>
  </si>
  <si>
    <t>Mt. Lebanon</t>
  </si>
  <si>
    <t>Mt. Oliver</t>
  </si>
  <si>
    <t xml:space="preserve">Munhall </t>
  </si>
  <si>
    <t>North Fayette</t>
  </si>
  <si>
    <t xml:space="preserve">Scott </t>
  </si>
  <si>
    <t>Stowe</t>
  </si>
  <si>
    <t>Whitaker</t>
  </si>
  <si>
    <t xml:space="preserve">Quarterly ALCOSAN </t>
  </si>
  <si>
    <t>ALCOSAN Base Rate</t>
  </si>
  <si>
    <t>Per 1,000 gallons</t>
  </si>
  <si>
    <t>Municipality/ Authority</t>
  </si>
  <si>
    <t>Municipality/ 
Authority</t>
  </si>
  <si>
    <t xml:space="preserve">        Service Charge</t>
  </si>
  <si>
    <t>Total Charge</t>
  </si>
  <si>
    <t>Total municipal Charge/Quarter</t>
  </si>
  <si>
    <t>Based on 13,000 gallons</t>
  </si>
  <si>
    <t>Based on 13,000 Gallons</t>
  </si>
  <si>
    <t>Total ALCOSAN Charge/Quarter</t>
  </si>
  <si>
    <t>(Municipal + ALCOSAN)</t>
  </si>
  <si>
    <t>Total Municipal Charges below are based on 13,000 GALLONS/QUARTER after ALCOSAN fees are removed.</t>
  </si>
  <si>
    <t xml:space="preserve">* Tiered rates are $/1,000 gallons starting at the gallon level listed. Ex: If the tier says $1.18 at 3,001, that means the rate is $1.18 for every 1,000 gallons over 3,000. </t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</si>
  <si>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All rates are given in $/1,000 gallons</t>
    </r>
  </si>
  <si>
    <r>
      <rPr>
        <b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All rates are given in $/1,000 gallons</t>
    </r>
  </si>
  <si>
    <r>
      <t xml:space="preserve">x </t>
    </r>
    <r>
      <rPr>
        <sz val="11"/>
        <rFont val="Calibri"/>
        <family val="2"/>
        <scheme val="minor"/>
      </rPr>
      <t>No Response to survey. These rates were calculated based on the municipality's 2017 rates, but include ALCOSAN's 2018 rates.</t>
    </r>
  </si>
  <si>
    <t>x No Response to survey. These rates were calculated based on the municipality's 2017 rates, but include ALCOSAN's 2018 rates.</t>
  </si>
  <si>
    <t>Residential rate is $7.10/KG (includes $7.42 ALCOSAN rate) Service fee $21.25 quarterly also includes ALCOSAN's $15.60 fee.  MTSA absorbs the loss.   Per phone call with John Flaherty on 6/1/18</t>
  </si>
  <si>
    <t>Peters Township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</si>
</sst>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 wrapText="1"/>
    </xf>
    <xf numFmtId="0" fontId="3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/>
    <xf numFmtId="0" fontId="5" fillId="0" borderId="5" xfId="0" applyFont="1" applyFill="1" applyBorder="1"/>
    <xf numFmtId="0" fontId="5" fillId="0" borderId="0" xfId="0" applyFont="1" applyFill="1" applyAlignment="1">
      <alignment horizontal="left" wrapText="1"/>
    </xf>
    <xf numFmtId="0" fontId="8" fillId="0" borderId="0" xfId="0" applyFont="1" applyFill="1"/>
    <xf numFmtId="0" fontId="9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0" fontId="10" fillId="0" borderId="0" xfId="0" applyFont="1" applyFill="1"/>
    <xf numFmtId="0" fontId="11" fillId="0" borderId="0" xfId="0" applyFont="1" applyFill="1"/>
    <xf numFmtId="49" fontId="7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4" xfId="0" applyFont="1" applyFill="1" applyBorder="1"/>
    <xf numFmtId="0" fontId="5" fillId="0" borderId="6" xfId="0" applyFont="1" applyFill="1" applyBorder="1"/>
    <xf numFmtId="0" fontId="1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ont="1" applyFill="1"/>
    <xf numFmtId="0" fontId="1" fillId="0" borderId="0" xfId="0" applyFont="1" applyFill="1" applyBorder="1"/>
    <xf numFmtId="0" fontId="5" fillId="0" borderId="0" xfId="0" applyFont="1" applyFill="1" applyAlignment="1">
      <alignment horizontal="left" vertical="top"/>
    </xf>
    <xf numFmtId="0" fontId="6" fillId="0" borderId="0" xfId="0" applyFont="1" applyFill="1"/>
    <xf numFmtId="164" fontId="5" fillId="0" borderId="0" xfId="0" applyNumberFormat="1" applyFont="1" applyFill="1"/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164" fontId="0" fillId="0" borderId="2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left"/>
    </xf>
    <xf numFmtId="8" fontId="5" fillId="0" borderId="2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topLeftCell="A4" zoomScaleNormal="100" workbookViewId="0">
      <selection activeCell="N4" sqref="N1:N1048576"/>
    </sheetView>
  </sheetViews>
  <sheetFormatPr defaultColWidth="9.140625" defaultRowHeight="15"/>
  <cols>
    <col min="1" max="1" width="20.85546875" style="5" customWidth="1"/>
    <col min="2" max="2" width="9" style="5" customWidth="1"/>
    <col min="3" max="3" width="9.140625" style="5" customWidth="1"/>
    <col min="4" max="4" width="8.7109375" style="5" customWidth="1"/>
    <col min="5" max="5" width="8.42578125" style="5" customWidth="1"/>
    <col min="6" max="6" width="7" style="5" customWidth="1"/>
    <col min="7" max="7" width="10.28515625" style="5" customWidth="1"/>
    <col min="8" max="8" width="22.7109375" style="5" customWidth="1"/>
    <col min="9" max="10" width="15.28515625" style="5" customWidth="1"/>
    <col min="11" max="11" width="16.5703125" style="5" customWidth="1"/>
    <col min="12" max="12" width="15" style="5" customWidth="1"/>
    <col min="13" max="13" width="17.7109375" style="5" customWidth="1"/>
    <col min="14" max="14" width="46.85546875" style="26" hidden="1" customWidth="1"/>
    <col min="15" max="16384" width="9.140625" style="5"/>
  </cols>
  <sheetData>
    <row r="1" spans="1:14" ht="18.75">
      <c r="A1" s="15" t="s">
        <v>128</v>
      </c>
      <c r="B1" s="15"/>
      <c r="C1" s="15"/>
      <c r="N1" s="23"/>
    </row>
    <row r="2" spans="1:14" ht="15.75">
      <c r="A2" s="16" t="s">
        <v>0</v>
      </c>
      <c r="B2" s="16"/>
      <c r="C2" s="16"/>
      <c r="D2" s="16"/>
      <c r="N2" s="23"/>
    </row>
    <row r="3" spans="1:14">
      <c r="A3" s="5" t="s">
        <v>207</v>
      </c>
      <c r="B3" s="1"/>
      <c r="N3" s="23"/>
    </row>
    <row r="4" spans="1:14">
      <c r="A4" s="5" t="s">
        <v>205</v>
      </c>
      <c r="C4" s="1"/>
      <c r="D4" s="1"/>
      <c r="N4" s="19" t="s">
        <v>1</v>
      </c>
    </row>
    <row r="5" spans="1:14" ht="15.75" thickBot="1">
      <c r="C5" s="1"/>
      <c r="D5" s="1"/>
      <c r="N5" s="19"/>
    </row>
    <row r="6" spans="1:14" ht="30.75" thickBot="1">
      <c r="A6" s="29" t="s">
        <v>196</v>
      </c>
      <c r="B6" s="6" t="s">
        <v>2</v>
      </c>
      <c r="C6" s="6"/>
      <c r="D6" s="30" t="s">
        <v>130</v>
      </c>
      <c r="E6" s="30"/>
      <c r="F6" s="30" t="s">
        <v>3</v>
      </c>
      <c r="G6" s="6"/>
      <c r="H6" s="44" t="s">
        <v>200</v>
      </c>
      <c r="I6" s="44" t="s">
        <v>193</v>
      </c>
      <c r="J6" s="44" t="s">
        <v>194</v>
      </c>
      <c r="K6" s="45" t="s">
        <v>4</v>
      </c>
      <c r="L6" s="44" t="s">
        <v>203</v>
      </c>
      <c r="M6" s="45" t="s">
        <v>199</v>
      </c>
      <c r="N6" s="18"/>
    </row>
    <row r="7" spans="1:14" ht="33.75" customHeight="1" thickBot="1">
      <c r="A7" s="7"/>
      <c r="B7" s="30" t="s">
        <v>5</v>
      </c>
      <c r="C7" s="30" t="s">
        <v>6</v>
      </c>
      <c r="D7" s="30" t="s">
        <v>7</v>
      </c>
      <c r="E7" s="30" t="s">
        <v>8</v>
      </c>
      <c r="F7" s="30" t="s">
        <v>7</v>
      </c>
      <c r="G7" s="30" t="s">
        <v>9</v>
      </c>
      <c r="H7" s="46" t="s">
        <v>201</v>
      </c>
      <c r="I7" s="43" t="s">
        <v>10</v>
      </c>
      <c r="J7" s="43" t="s">
        <v>195</v>
      </c>
      <c r="K7" s="46" t="s">
        <v>202</v>
      </c>
      <c r="L7" s="46" t="s">
        <v>202</v>
      </c>
      <c r="M7" s="46" t="s">
        <v>204</v>
      </c>
      <c r="N7" s="18"/>
    </row>
    <row r="8" spans="1:14" ht="15" customHeight="1" thickBot="1">
      <c r="A8" s="6" t="s">
        <v>149</v>
      </c>
      <c r="B8" s="31"/>
      <c r="C8" s="31">
        <f>15.6*0.35</f>
        <v>5.46</v>
      </c>
      <c r="D8" s="31">
        <f>7.42*0.35</f>
        <v>2.597</v>
      </c>
      <c r="E8" s="32">
        <v>1000</v>
      </c>
      <c r="F8" s="31"/>
      <c r="G8" s="33"/>
      <c r="H8" s="31">
        <f>C8 +(D8*13)</f>
        <v>39.221000000000004</v>
      </c>
      <c r="I8" s="31">
        <v>15.6</v>
      </c>
      <c r="J8" s="31">
        <v>7.42</v>
      </c>
      <c r="K8" s="31">
        <f>7.42*13</f>
        <v>96.46</v>
      </c>
      <c r="L8" s="31">
        <f>I8+K8</f>
        <v>112.05999999999999</v>
      </c>
      <c r="M8" s="31">
        <f>H8+L8</f>
        <v>151.28100000000001</v>
      </c>
      <c r="N8" s="18" t="s">
        <v>109</v>
      </c>
    </row>
    <row r="9" spans="1:14" s="24" customFormat="1" ht="24.75" thickBot="1">
      <c r="A9" s="34" t="s">
        <v>150</v>
      </c>
      <c r="B9" s="35"/>
      <c r="C9" s="35">
        <v>1.5</v>
      </c>
      <c r="D9" s="35">
        <v>3</v>
      </c>
      <c r="E9" s="36">
        <v>1000</v>
      </c>
      <c r="F9" s="35"/>
      <c r="G9" s="37"/>
      <c r="H9" s="35">
        <f>C9 +(D9*13)</f>
        <v>40.5</v>
      </c>
      <c r="I9" s="35">
        <v>15.6</v>
      </c>
      <c r="J9" s="31">
        <v>7.42</v>
      </c>
      <c r="K9" s="35">
        <f t="shared" ref="K9:K33" si="0">7.42*13</f>
        <v>96.46</v>
      </c>
      <c r="L9" s="35">
        <f t="shared" ref="L9:L33" si="1">I9+K9</f>
        <v>112.05999999999999</v>
      </c>
      <c r="M9" s="35">
        <f t="shared" ref="M9:M33" si="2">H9+L9</f>
        <v>152.56</v>
      </c>
      <c r="N9" s="22" t="s">
        <v>134</v>
      </c>
    </row>
    <row r="10" spans="1:14" ht="15.75" thickBot="1">
      <c r="A10" s="6" t="s">
        <v>151</v>
      </c>
      <c r="B10" s="31"/>
      <c r="C10" s="31">
        <v>1.5</v>
      </c>
      <c r="D10" s="31">
        <v>4.5</v>
      </c>
      <c r="E10" s="32">
        <v>1000</v>
      </c>
      <c r="F10" s="31"/>
      <c r="G10" s="33"/>
      <c r="H10" s="31">
        <f t="shared" ref="H10:H33" si="3">C10 +(D10*13)</f>
        <v>60</v>
      </c>
      <c r="I10" s="31">
        <v>15.6</v>
      </c>
      <c r="J10" s="31">
        <v>7.42</v>
      </c>
      <c r="K10" s="31">
        <f t="shared" si="0"/>
        <v>96.46</v>
      </c>
      <c r="L10" s="31">
        <f t="shared" si="1"/>
        <v>112.05999999999999</v>
      </c>
      <c r="M10" s="31">
        <f t="shared" si="2"/>
        <v>172.06</v>
      </c>
      <c r="N10" s="18" t="s">
        <v>107</v>
      </c>
    </row>
    <row r="11" spans="1:14" ht="15.75" thickBot="1">
      <c r="A11" s="6" t="s">
        <v>152</v>
      </c>
      <c r="B11" s="31"/>
      <c r="C11" s="31"/>
      <c r="D11" s="31">
        <v>6</v>
      </c>
      <c r="E11" s="32">
        <v>1000</v>
      </c>
      <c r="F11" s="31"/>
      <c r="G11" s="33"/>
      <c r="H11" s="31">
        <f t="shared" si="3"/>
        <v>78</v>
      </c>
      <c r="I11" s="31">
        <v>15.6</v>
      </c>
      <c r="J11" s="31">
        <v>7.42</v>
      </c>
      <c r="K11" s="31">
        <f t="shared" si="0"/>
        <v>96.46</v>
      </c>
      <c r="L11" s="31">
        <f t="shared" si="1"/>
        <v>112.05999999999999</v>
      </c>
      <c r="M11" s="31">
        <f t="shared" si="2"/>
        <v>190.06</v>
      </c>
      <c r="N11" s="18" t="s">
        <v>72</v>
      </c>
    </row>
    <row r="12" spans="1:14" ht="15.75" thickBot="1">
      <c r="A12" s="6" t="s">
        <v>89</v>
      </c>
      <c r="B12" s="31"/>
      <c r="C12" s="31"/>
      <c r="D12" s="31">
        <f>77.6-15.6-(7.42*8)</f>
        <v>2.6399999999999935</v>
      </c>
      <c r="E12" s="32">
        <v>8000</v>
      </c>
      <c r="F12" s="31">
        <f>9.7-7.42</f>
        <v>2.2799999999999994</v>
      </c>
      <c r="G12" s="32">
        <v>8001</v>
      </c>
      <c r="H12" s="31">
        <f>D12 +(F12*5)</f>
        <v>14.03999999999999</v>
      </c>
      <c r="I12" s="31">
        <v>15.6</v>
      </c>
      <c r="J12" s="31">
        <v>7.42</v>
      </c>
      <c r="K12" s="31">
        <f t="shared" si="0"/>
        <v>96.46</v>
      </c>
      <c r="L12" s="31">
        <f t="shared" si="1"/>
        <v>112.05999999999999</v>
      </c>
      <c r="M12" s="31">
        <f t="shared" si="2"/>
        <v>126.09999999999998</v>
      </c>
      <c r="N12" s="18" t="s">
        <v>90</v>
      </c>
    </row>
    <row r="13" spans="1:14" s="24" customFormat="1" ht="25.5" customHeight="1" thickBot="1">
      <c r="A13" s="34" t="s">
        <v>153</v>
      </c>
      <c r="B13" s="35"/>
      <c r="C13" s="35">
        <f>15.6/2</f>
        <v>7.8</v>
      </c>
      <c r="D13" s="35">
        <f>7.42/2</f>
        <v>3.71</v>
      </c>
      <c r="E13" s="36">
        <v>1000</v>
      </c>
      <c r="F13" s="35"/>
      <c r="G13" s="36"/>
      <c r="H13" s="35">
        <f t="shared" si="3"/>
        <v>56.029999999999994</v>
      </c>
      <c r="I13" s="35">
        <v>15.6</v>
      </c>
      <c r="J13" s="31">
        <v>7.42</v>
      </c>
      <c r="K13" s="35">
        <f t="shared" si="0"/>
        <v>96.46</v>
      </c>
      <c r="L13" s="35">
        <f t="shared" si="1"/>
        <v>112.05999999999999</v>
      </c>
      <c r="M13" s="35">
        <f t="shared" si="2"/>
        <v>168.08999999999997</v>
      </c>
      <c r="N13" s="22" t="s">
        <v>45</v>
      </c>
    </row>
    <row r="14" spans="1:14" ht="24.75" thickBot="1">
      <c r="A14" s="6" t="s">
        <v>154</v>
      </c>
      <c r="B14" s="31"/>
      <c r="C14" s="31">
        <v>1.5</v>
      </c>
      <c r="D14" s="31">
        <v>4.7</v>
      </c>
      <c r="E14" s="32">
        <v>1000</v>
      </c>
      <c r="F14" s="31"/>
      <c r="G14" s="32"/>
      <c r="H14" s="31">
        <f t="shared" si="3"/>
        <v>62.6</v>
      </c>
      <c r="I14" s="31">
        <v>15.6</v>
      </c>
      <c r="J14" s="31">
        <v>7.42</v>
      </c>
      <c r="K14" s="31">
        <f t="shared" si="0"/>
        <v>96.46</v>
      </c>
      <c r="L14" s="31">
        <f t="shared" si="1"/>
        <v>112.05999999999999</v>
      </c>
      <c r="M14" s="31">
        <f>H14+L14</f>
        <v>174.66</v>
      </c>
      <c r="N14" s="18" t="s">
        <v>62</v>
      </c>
    </row>
    <row r="15" spans="1:14" ht="15.75" thickBot="1">
      <c r="A15" s="6" t="s">
        <v>155</v>
      </c>
      <c r="B15" s="31"/>
      <c r="C15" s="31">
        <v>0</v>
      </c>
      <c r="D15" s="31">
        <v>4.75</v>
      </c>
      <c r="E15" s="32">
        <v>1000</v>
      </c>
      <c r="F15" s="31"/>
      <c r="G15" s="32"/>
      <c r="H15" s="31">
        <f t="shared" si="3"/>
        <v>61.75</v>
      </c>
      <c r="I15" s="31">
        <v>15.6</v>
      </c>
      <c r="J15" s="31">
        <v>7.42</v>
      </c>
      <c r="K15" s="31">
        <f t="shared" si="0"/>
        <v>96.46</v>
      </c>
      <c r="L15" s="31">
        <f t="shared" si="1"/>
        <v>112.05999999999999</v>
      </c>
      <c r="M15" s="31">
        <f t="shared" si="2"/>
        <v>173.81</v>
      </c>
      <c r="N15" s="18" t="s">
        <v>67</v>
      </c>
    </row>
    <row r="16" spans="1:14" ht="24.75" thickBot="1">
      <c r="A16" s="6" t="s">
        <v>34</v>
      </c>
      <c r="B16" s="31"/>
      <c r="C16" s="31"/>
      <c r="D16" s="31">
        <v>10.66</v>
      </c>
      <c r="E16" s="32">
        <v>2000</v>
      </c>
      <c r="F16" s="31">
        <v>5.33</v>
      </c>
      <c r="G16" s="32">
        <v>2001</v>
      </c>
      <c r="H16" s="31">
        <f>C16 +D16 +(F16*11)</f>
        <v>69.290000000000006</v>
      </c>
      <c r="I16" s="31">
        <v>15.6</v>
      </c>
      <c r="J16" s="31">
        <v>7.42</v>
      </c>
      <c r="K16" s="31">
        <f t="shared" si="0"/>
        <v>96.46</v>
      </c>
      <c r="L16" s="31">
        <f t="shared" si="1"/>
        <v>112.05999999999999</v>
      </c>
      <c r="M16" s="31">
        <f t="shared" si="2"/>
        <v>181.35</v>
      </c>
      <c r="N16" s="18" t="s">
        <v>64</v>
      </c>
    </row>
    <row r="17" spans="1:14" ht="24" customHeight="1" thickBot="1">
      <c r="A17" s="6" t="s">
        <v>156</v>
      </c>
      <c r="B17" s="31"/>
      <c r="C17" s="31">
        <v>1.5</v>
      </c>
      <c r="D17" s="31">
        <v>5.75</v>
      </c>
      <c r="E17" s="32">
        <v>1000</v>
      </c>
      <c r="F17" s="31"/>
      <c r="G17" s="32"/>
      <c r="H17" s="31">
        <f t="shared" si="3"/>
        <v>76.25</v>
      </c>
      <c r="I17" s="31">
        <v>15.6</v>
      </c>
      <c r="J17" s="31">
        <v>7.42</v>
      </c>
      <c r="K17" s="31">
        <f t="shared" si="0"/>
        <v>96.46</v>
      </c>
      <c r="L17" s="31">
        <f t="shared" si="1"/>
        <v>112.05999999999999</v>
      </c>
      <c r="M17" s="31">
        <f t="shared" si="2"/>
        <v>188.31</v>
      </c>
      <c r="N17" s="18" t="s">
        <v>135</v>
      </c>
    </row>
    <row r="18" spans="1:14" ht="24.75" thickBot="1">
      <c r="A18" s="6" t="s">
        <v>157</v>
      </c>
      <c r="B18" s="31"/>
      <c r="C18" s="31"/>
      <c r="D18" s="31">
        <v>44.84</v>
      </c>
      <c r="E18" s="32" t="s">
        <v>12</v>
      </c>
      <c r="F18" s="38" t="s">
        <v>13</v>
      </c>
      <c r="G18" s="32"/>
      <c r="H18" s="31">
        <f>D18</f>
        <v>44.84</v>
      </c>
      <c r="I18" s="31">
        <v>15.6</v>
      </c>
      <c r="J18" s="31">
        <v>7.42</v>
      </c>
      <c r="K18" s="31">
        <f t="shared" si="0"/>
        <v>96.46</v>
      </c>
      <c r="L18" s="31">
        <f t="shared" si="1"/>
        <v>112.05999999999999</v>
      </c>
      <c r="M18" s="31">
        <f t="shared" si="2"/>
        <v>156.89999999999998</v>
      </c>
      <c r="N18" s="18" t="s">
        <v>65</v>
      </c>
    </row>
    <row r="19" spans="1:14" ht="15.75" thickBot="1">
      <c r="A19" s="6" t="s">
        <v>158</v>
      </c>
      <c r="B19" s="31"/>
      <c r="C19" s="31">
        <v>4.5</v>
      </c>
      <c r="D19" s="31">
        <v>25.08</v>
      </c>
      <c r="E19" s="32">
        <v>6000</v>
      </c>
      <c r="F19" s="31">
        <f>12.3-7.42</f>
        <v>4.8800000000000008</v>
      </c>
      <c r="G19" s="32">
        <v>6001</v>
      </c>
      <c r="H19" s="31">
        <f>C19 +D19+(F19*7)</f>
        <v>63.74</v>
      </c>
      <c r="I19" s="31">
        <v>15.6</v>
      </c>
      <c r="J19" s="31">
        <v>7.42</v>
      </c>
      <c r="K19" s="31">
        <f t="shared" si="0"/>
        <v>96.46</v>
      </c>
      <c r="L19" s="31">
        <f t="shared" si="1"/>
        <v>112.05999999999999</v>
      </c>
      <c r="M19" s="31">
        <f>H19+L19</f>
        <v>175.79999999999998</v>
      </c>
      <c r="N19" s="18" t="s">
        <v>94</v>
      </c>
    </row>
    <row r="20" spans="1:14" ht="15.75" thickBot="1">
      <c r="A20" s="6" t="s">
        <v>159</v>
      </c>
      <c r="B20" s="31"/>
      <c r="C20" s="31">
        <v>14.4</v>
      </c>
      <c r="D20" s="31">
        <f>18.76-7.42</f>
        <v>11.340000000000002</v>
      </c>
      <c r="E20" s="32">
        <v>1000</v>
      </c>
      <c r="F20" s="31"/>
      <c r="G20" s="32"/>
      <c r="H20" s="31">
        <f t="shared" si="3"/>
        <v>161.82000000000002</v>
      </c>
      <c r="I20" s="31">
        <v>15.6</v>
      </c>
      <c r="J20" s="31">
        <v>7.42</v>
      </c>
      <c r="K20" s="31">
        <f t="shared" si="0"/>
        <v>96.46</v>
      </c>
      <c r="L20" s="31">
        <f t="shared" si="1"/>
        <v>112.05999999999999</v>
      </c>
      <c r="M20" s="31">
        <f t="shared" si="2"/>
        <v>273.88</v>
      </c>
      <c r="N20" s="18" t="s">
        <v>79</v>
      </c>
    </row>
    <row r="21" spans="1:14" ht="24.75" thickBot="1">
      <c r="A21" s="6" t="s">
        <v>14</v>
      </c>
      <c r="B21" s="31"/>
      <c r="C21" s="31"/>
      <c r="D21" s="31">
        <f>88.47-(3*7.42)</f>
        <v>66.210000000000008</v>
      </c>
      <c r="E21" s="32">
        <v>3000</v>
      </c>
      <c r="F21" s="31">
        <f>8.6-7.42</f>
        <v>1.1799999999999997</v>
      </c>
      <c r="G21" s="32">
        <v>3001</v>
      </c>
      <c r="H21" s="31">
        <f>(D21)+(F21*10)</f>
        <v>78.010000000000005</v>
      </c>
      <c r="I21" s="31">
        <v>15.6</v>
      </c>
      <c r="J21" s="31">
        <v>7.42</v>
      </c>
      <c r="K21" s="31">
        <f t="shared" si="0"/>
        <v>96.46</v>
      </c>
      <c r="L21" s="31">
        <f t="shared" si="1"/>
        <v>112.05999999999999</v>
      </c>
      <c r="M21" s="31">
        <f t="shared" si="2"/>
        <v>190.07</v>
      </c>
      <c r="N21" s="18" t="s">
        <v>68</v>
      </c>
    </row>
    <row r="22" spans="1:14" ht="24.75" thickBot="1">
      <c r="A22" s="6" t="s">
        <v>42</v>
      </c>
      <c r="B22" s="31"/>
      <c r="C22" s="31">
        <f>18.1-15.6</f>
        <v>2.5000000000000018</v>
      </c>
      <c r="D22" s="31">
        <v>4.5</v>
      </c>
      <c r="E22" s="32">
        <v>1000</v>
      </c>
      <c r="F22" s="30"/>
      <c r="G22" s="32"/>
      <c r="H22" s="31">
        <f t="shared" si="3"/>
        <v>61</v>
      </c>
      <c r="I22" s="31">
        <v>15.6</v>
      </c>
      <c r="J22" s="31">
        <v>7.42</v>
      </c>
      <c r="K22" s="31">
        <f t="shared" si="0"/>
        <v>96.46</v>
      </c>
      <c r="L22" s="31">
        <f t="shared" si="1"/>
        <v>112.05999999999999</v>
      </c>
      <c r="M22" s="31">
        <f t="shared" si="2"/>
        <v>173.06</v>
      </c>
      <c r="N22" s="18" t="s">
        <v>93</v>
      </c>
    </row>
    <row r="23" spans="1:14" ht="20.25" customHeight="1" thickBot="1">
      <c r="A23" s="6" t="s">
        <v>15</v>
      </c>
      <c r="B23" s="31"/>
      <c r="C23" s="31"/>
      <c r="D23" s="31">
        <f>7.71*3</f>
        <v>23.13</v>
      </c>
      <c r="E23" s="32">
        <v>3000</v>
      </c>
      <c r="F23" s="31">
        <v>6.92</v>
      </c>
      <c r="G23" s="32">
        <v>3001</v>
      </c>
      <c r="H23" s="31">
        <f>D23+(F23*10)</f>
        <v>92.33</v>
      </c>
      <c r="I23" s="31">
        <v>15.6</v>
      </c>
      <c r="J23" s="31">
        <v>7.42</v>
      </c>
      <c r="K23" s="31">
        <f t="shared" si="0"/>
        <v>96.46</v>
      </c>
      <c r="L23" s="31">
        <f t="shared" si="1"/>
        <v>112.05999999999999</v>
      </c>
      <c r="M23" s="31">
        <f t="shared" si="2"/>
        <v>204.39</v>
      </c>
      <c r="N23" s="18" t="s">
        <v>122</v>
      </c>
    </row>
    <row r="24" spans="1:14" ht="26.25" customHeight="1" thickBot="1">
      <c r="A24" s="6" t="s">
        <v>160</v>
      </c>
      <c r="B24" s="31"/>
      <c r="C24" s="31"/>
      <c r="D24" s="31">
        <v>30.7</v>
      </c>
      <c r="E24" s="32">
        <v>1870</v>
      </c>
      <c r="F24" s="39">
        <v>55.02</v>
      </c>
      <c r="G24" s="32">
        <v>11130</v>
      </c>
      <c r="H24" s="31">
        <f>D24+F24</f>
        <v>85.72</v>
      </c>
      <c r="I24" s="31">
        <v>15.6</v>
      </c>
      <c r="J24" s="31">
        <v>7.42</v>
      </c>
      <c r="K24" s="31">
        <f t="shared" si="0"/>
        <v>96.46</v>
      </c>
      <c r="L24" s="31">
        <f t="shared" si="1"/>
        <v>112.05999999999999</v>
      </c>
      <c r="M24" s="31">
        <f t="shared" si="2"/>
        <v>197.77999999999997</v>
      </c>
      <c r="N24" s="18" t="s">
        <v>132</v>
      </c>
    </row>
    <row r="25" spans="1:14" ht="15.75" thickBot="1">
      <c r="A25" s="6" t="s">
        <v>161</v>
      </c>
      <c r="B25" s="31"/>
      <c r="C25" s="31">
        <f>(15.6*0.3)+1.5</f>
        <v>6.18</v>
      </c>
      <c r="D25" s="31">
        <v>2.23</v>
      </c>
      <c r="E25" s="32">
        <v>1000</v>
      </c>
      <c r="F25" s="30"/>
      <c r="G25" s="32"/>
      <c r="H25" s="31">
        <f t="shared" si="3"/>
        <v>35.17</v>
      </c>
      <c r="I25" s="31">
        <v>15.6</v>
      </c>
      <c r="J25" s="31">
        <v>7.42</v>
      </c>
      <c r="K25" s="31">
        <f t="shared" si="0"/>
        <v>96.46</v>
      </c>
      <c r="L25" s="31">
        <f t="shared" si="1"/>
        <v>112.05999999999999</v>
      </c>
      <c r="M25" s="31">
        <f t="shared" si="2"/>
        <v>147.22999999999999</v>
      </c>
      <c r="N25" s="18" t="s">
        <v>138</v>
      </c>
    </row>
    <row r="26" spans="1:14" s="24" customFormat="1" ht="15.75" thickBot="1">
      <c r="A26" s="40" t="s">
        <v>52</v>
      </c>
      <c r="B26" s="35" t="s">
        <v>11</v>
      </c>
      <c r="C26" s="35">
        <v>1.5</v>
      </c>
      <c r="D26" s="35">
        <v>3.5</v>
      </c>
      <c r="E26" s="36">
        <v>1000</v>
      </c>
      <c r="F26" s="41"/>
      <c r="G26" s="36"/>
      <c r="H26" s="35">
        <f>D26*13</f>
        <v>45.5</v>
      </c>
      <c r="I26" s="35">
        <v>15.6</v>
      </c>
      <c r="J26" s="31">
        <v>7.42</v>
      </c>
      <c r="K26" s="35">
        <f t="shared" si="0"/>
        <v>96.46</v>
      </c>
      <c r="L26" s="35">
        <f t="shared" si="1"/>
        <v>112.05999999999999</v>
      </c>
      <c r="M26" s="35">
        <f t="shared" si="2"/>
        <v>157.56</v>
      </c>
      <c r="N26" s="22" t="s">
        <v>53</v>
      </c>
    </row>
    <row r="27" spans="1:14" ht="24.75" thickBot="1">
      <c r="A27" s="6" t="s">
        <v>16</v>
      </c>
      <c r="B27" s="31"/>
      <c r="C27" s="31">
        <v>18</v>
      </c>
      <c r="D27" s="31">
        <v>36</v>
      </c>
      <c r="E27" s="32">
        <v>6000</v>
      </c>
      <c r="F27" s="31">
        <v>6</v>
      </c>
      <c r="G27" s="32">
        <v>6001</v>
      </c>
      <c r="H27" s="31">
        <f>C27 +D27+(F27*7)</f>
        <v>96</v>
      </c>
      <c r="I27" s="31">
        <v>15.6</v>
      </c>
      <c r="J27" s="31">
        <v>7.42</v>
      </c>
      <c r="K27" s="31">
        <f t="shared" si="0"/>
        <v>96.46</v>
      </c>
      <c r="L27" s="31">
        <f t="shared" si="1"/>
        <v>112.05999999999999</v>
      </c>
      <c r="M27" s="31">
        <f t="shared" si="2"/>
        <v>208.06</v>
      </c>
      <c r="N27" s="18" t="s">
        <v>96</v>
      </c>
    </row>
    <row r="28" spans="1:14" ht="15.75" thickBot="1">
      <c r="A28" s="6" t="s">
        <v>163</v>
      </c>
      <c r="B28" s="31"/>
      <c r="C28" s="31"/>
      <c r="D28" s="31">
        <v>2.5</v>
      </c>
      <c r="E28" s="32">
        <v>1000</v>
      </c>
      <c r="F28" s="31"/>
      <c r="G28" s="32"/>
      <c r="H28" s="31">
        <f t="shared" si="3"/>
        <v>32.5</v>
      </c>
      <c r="I28" s="31">
        <v>15.6</v>
      </c>
      <c r="J28" s="31">
        <v>7.42</v>
      </c>
      <c r="K28" s="31">
        <f t="shared" si="0"/>
        <v>96.46</v>
      </c>
      <c r="L28" s="31">
        <f t="shared" si="1"/>
        <v>112.05999999999999</v>
      </c>
      <c r="M28" s="31">
        <f t="shared" si="2"/>
        <v>144.56</v>
      </c>
      <c r="N28" s="18" t="s">
        <v>92</v>
      </c>
    </row>
    <row r="29" spans="1:14" ht="24.75" thickBot="1">
      <c r="A29" s="6" t="s">
        <v>71</v>
      </c>
      <c r="B29" s="31"/>
      <c r="C29" s="31">
        <v>3.4</v>
      </c>
      <c r="D29" s="31">
        <v>1.58</v>
      </c>
      <c r="E29" s="32">
        <v>1000</v>
      </c>
      <c r="F29" s="31"/>
      <c r="G29" s="32"/>
      <c r="H29" s="31">
        <f t="shared" si="3"/>
        <v>23.939999999999998</v>
      </c>
      <c r="I29" s="31">
        <v>15.6</v>
      </c>
      <c r="J29" s="31">
        <v>7.42</v>
      </c>
      <c r="K29" s="31">
        <f t="shared" si="0"/>
        <v>96.46</v>
      </c>
      <c r="L29" s="31">
        <f t="shared" si="1"/>
        <v>112.05999999999999</v>
      </c>
      <c r="M29" s="31">
        <f t="shared" si="2"/>
        <v>136</v>
      </c>
      <c r="N29" s="18" t="s">
        <v>137</v>
      </c>
    </row>
    <row r="30" spans="1:14" ht="24" customHeight="1" thickBot="1">
      <c r="A30" s="6" t="s">
        <v>27</v>
      </c>
      <c r="B30" s="31"/>
      <c r="C30" s="31"/>
      <c r="D30" s="31">
        <f>119.61-15.6-(7.42*10)</f>
        <v>29.810000000000002</v>
      </c>
      <c r="E30" s="32">
        <v>10000</v>
      </c>
      <c r="F30" s="31">
        <v>1.5</v>
      </c>
      <c r="G30" s="32">
        <v>10001</v>
      </c>
      <c r="H30" s="31">
        <v>34.25</v>
      </c>
      <c r="I30" s="31">
        <v>15.6</v>
      </c>
      <c r="J30" s="31">
        <v>7.42</v>
      </c>
      <c r="K30" s="31">
        <f t="shared" si="0"/>
        <v>96.46</v>
      </c>
      <c r="L30" s="31">
        <f t="shared" si="1"/>
        <v>112.05999999999999</v>
      </c>
      <c r="M30" s="31">
        <f t="shared" si="2"/>
        <v>146.31</v>
      </c>
      <c r="N30" s="18" t="s">
        <v>129</v>
      </c>
    </row>
    <row r="31" spans="1:14" ht="24.75" thickBot="1">
      <c r="A31" s="6" t="s">
        <v>164</v>
      </c>
      <c r="B31" s="31"/>
      <c r="C31" s="31">
        <v>1.5</v>
      </c>
      <c r="D31" s="31">
        <v>5</v>
      </c>
      <c r="E31" s="32">
        <v>1000</v>
      </c>
      <c r="F31" s="31">
        <v>2.5</v>
      </c>
      <c r="G31" s="32">
        <v>2001</v>
      </c>
      <c r="H31" s="31">
        <f>C31 +D31 +(F31*12)</f>
        <v>36.5</v>
      </c>
      <c r="I31" s="31">
        <v>15.6</v>
      </c>
      <c r="J31" s="31">
        <v>7.42</v>
      </c>
      <c r="K31" s="31">
        <f t="shared" si="0"/>
        <v>96.46</v>
      </c>
      <c r="L31" s="31">
        <f t="shared" si="1"/>
        <v>112.05999999999999</v>
      </c>
      <c r="M31" s="31">
        <f t="shared" si="2"/>
        <v>148.56</v>
      </c>
      <c r="N31" s="18" t="s">
        <v>116</v>
      </c>
    </row>
    <row r="32" spans="1:14" ht="24.75" thickBot="1">
      <c r="A32" s="6" t="s">
        <v>165</v>
      </c>
      <c r="B32" s="31"/>
      <c r="C32" s="31">
        <v>1.5</v>
      </c>
      <c r="D32" s="31">
        <v>1.5</v>
      </c>
      <c r="E32" s="32">
        <v>1000</v>
      </c>
      <c r="F32" s="30"/>
      <c r="G32" s="32"/>
      <c r="H32" s="31">
        <f t="shared" si="3"/>
        <v>21</v>
      </c>
      <c r="I32" s="31">
        <v>15.6</v>
      </c>
      <c r="J32" s="31">
        <v>7.42</v>
      </c>
      <c r="K32" s="31">
        <f t="shared" si="0"/>
        <v>96.46</v>
      </c>
      <c r="L32" s="31">
        <f t="shared" si="1"/>
        <v>112.05999999999999</v>
      </c>
      <c r="M32" s="31">
        <f t="shared" si="2"/>
        <v>133.06</v>
      </c>
      <c r="N32" s="18" t="s">
        <v>54</v>
      </c>
    </row>
    <row r="33" spans="1:14" ht="24.75" thickBot="1">
      <c r="A33" s="6" t="s">
        <v>166</v>
      </c>
      <c r="B33" s="31"/>
      <c r="C33" s="31">
        <v>1.5</v>
      </c>
      <c r="D33" s="31">
        <v>3</v>
      </c>
      <c r="E33" s="32">
        <v>1000</v>
      </c>
      <c r="F33" s="30"/>
      <c r="G33" s="32"/>
      <c r="H33" s="31">
        <f t="shared" si="3"/>
        <v>40.5</v>
      </c>
      <c r="I33" s="31">
        <v>15.6</v>
      </c>
      <c r="J33" s="31">
        <v>7.42</v>
      </c>
      <c r="K33" s="31">
        <f t="shared" si="0"/>
        <v>96.46</v>
      </c>
      <c r="L33" s="31">
        <f t="shared" si="1"/>
        <v>112.05999999999999</v>
      </c>
      <c r="M33" s="31">
        <f t="shared" si="2"/>
        <v>152.56</v>
      </c>
      <c r="N33" s="18" t="s">
        <v>47</v>
      </c>
    </row>
    <row r="34" spans="1:1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3"/>
    </row>
    <row r="35" spans="1:14">
      <c r="A35" s="25" t="s">
        <v>17</v>
      </c>
      <c r="B35" s="9" t="s">
        <v>206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3"/>
    </row>
    <row r="36" spans="1:14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3"/>
    </row>
    <row r="37" spans="1:14">
      <c r="A37" s="9"/>
      <c r="B37" s="9" t="s">
        <v>162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9"/>
    </row>
    <row r="38" spans="1:1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3"/>
    </row>
  </sheetData>
  <sheetProtection formatCells="0" formatColumns="0" formatRows="0"/>
  <pageMargins left="0.7" right="0.7" top="0.75" bottom="0.75" header="0.3" footer="0.3"/>
  <pageSetup paperSize="1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opLeftCell="A13" zoomScaleNormal="100" workbookViewId="0">
      <selection activeCell="A37" sqref="A37"/>
    </sheetView>
  </sheetViews>
  <sheetFormatPr defaultColWidth="9.140625" defaultRowHeight="15"/>
  <cols>
    <col min="1" max="1" width="26.5703125" style="5" customWidth="1"/>
    <col min="2" max="2" width="9" style="5" customWidth="1"/>
    <col min="3" max="3" width="10.28515625" style="5" customWidth="1"/>
    <col min="4" max="4" width="8.7109375" style="5" customWidth="1"/>
    <col min="5" max="5" width="10" style="5" customWidth="1"/>
    <col min="6" max="6" width="7.42578125" style="5" customWidth="1"/>
    <col min="7" max="7" width="7.5703125" style="5" customWidth="1"/>
    <col min="8" max="8" width="14.7109375" style="5" customWidth="1"/>
    <col min="9" max="10" width="10.7109375" style="5" customWidth="1"/>
    <col min="11" max="11" width="16.42578125" style="5" customWidth="1"/>
    <col min="12" max="12" width="18.85546875" style="5" customWidth="1"/>
    <col min="13" max="13" width="11.42578125" style="5" bestFit="1" customWidth="1"/>
    <col min="14" max="14" width="44.42578125" style="17" hidden="1" customWidth="1"/>
    <col min="15" max="17" width="9.140625" style="5"/>
    <col min="18" max="18" width="13.85546875" style="5" customWidth="1"/>
    <col min="19" max="16384" width="9.140625" style="5"/>
  </cols>
  <sheetData>
    <row r="1" spans="1:18" ht="18.75">
      <c r="A1" s="15" t="s">
        <v>128</v>
      </c>
    </row>
    <row r="2" spans="1:18" ht="15.75">
      <c r="A2" s="16" t="s">
        <v>18</v>
      </c>
    </row>
    <row r="3" spans="1:18">
      <c r="A3" s="5" t="s">
        <v>208</v>
      </c>
      <c r="B3" s="3"/>
    </row>
    <row r="4" spans="1:18">
      <c r="A4" s="5" t="s">
        <v>205</v>
      </c>
      <c r="C4" s="3"/>
      <c r="D4" s="3"/>
    </row>
    <row r="5" spans="1:18" ht="15.75" thickBot="1">
      <c r="C5" s="3"/>
      <c r="D5" s="3"/>
    </row>
    <row r="6" spans="1:18" ht="36.75" customHeight="1" thickBot="1">
      <c r="A6" s="29" t="s">
        <v>197</v>
      </c>
      <c r="B6" s="6" t="s">
        <v>2</v>
      </c>
      <c r="C6" s="6"/>
      <c r="D6" s="30" t="s">
        <v>130</v>
      </c>
      <c r="E6" s="30"/>
      <c r="F6" s="30" t="s">
        <v>3</v>
      </c>
      <c r="G6" s="6"/>
      <c r="H6" s="44" t="s">
        <v>200</v>
      </c>
      <c r="I6" s="44" t="s">
        <v>193</v>
      </c>
      <c r="J6" s="44" t="s">
        <v>194</v>
      </c>
      <c r="K6" s="44" t="s">
        <v>4</v>
      </c>
      <c r="L6" s="44" t="s">
        <v>203</v>
      </c>
      <c r="M6" s="44" t="s">
        <v>199</v>
      </c>
    </row>
    <row r="7" spans="1:18" ht="45.75" thickBot="1">
      <c r="A7" s="7"/>
      <c r="B7" s="30" t="s">
        <v>5</v>
      </c>
      <c r="C7" s="30" t="s">
        <v>6</v>
      </c>
      <c r="D7" s="30" t="s">
        <v>7</v>
      </c>
      <c r="E7" s="30" t="s">
        <v>8</v>
      </c>
      <c r="F7" s="30" t="s">
        <v>7</v>
      </c>
      <c r="G7" s="30" t="s">
        <v>9</v>
      </c>
      <c r="H7" s="46" t="s">
        <v>201</v>
      </c>
      <c r="I7" s="46" t="s">
        <v>10</v>
      </c>
      <c r="J7" s="46" t="s">
        <v>195</v>
      </c>
      <c r="K7" s="46" t="s">
        <v>202</v>
      </c>
      <c r="L7" s="46" t="s">
        <v>202</v>
      </c>
      <c r="M7" s="46" t="s">
        <v>204</v>
      </c>
      <c r="N7" s="18" t="s">
        <v>1</v>
      </c>
      <c r="O7" s="8"/>
      <c r="P7" s="8"/>
      <c r="Q7" s="8"/>
      <c r="R7" s="8"/>
    </row>
    <row r="8" spans="1:18" ht="24.75" thickBot="1">
      <c r="A8" s="6" t="s">
        <v>167</v>
      </c>
      <c r="B8" s="31"/>
      <c r="C8" s="31">
        <v>0</v>
      </c>
      <c r="D8" s="31">
        <v>1.73</v>
      </c>
      <c r="E8" s="32">
        <v>1000</v>
      </c>
      <c r="F8" s="31"/>
      <c r="G8" s="32"/>
      <c r="H8" s="31">
        <f>(C8)+(D8*13)</f>
        <v>22.49</v>
      </c>
      <c r="I8" s="31">
        <v>15.6</v>
      </c>
      <c r="J8" s="31">
        <v>7.42</v>
      </c>
      <c r="K8" s="31">
        <f>7.42*13</f>
        <v>96.46</v>
      </c>
      <c r="L8" s="31">
        <f>I8+K8</f>
        <v>112.05999999999999</v>
      </c>
      <c r="M8" s="31">
        <f t="shared" ref="M8:M36" si="0">H8+L8</f>
        <v>134.54999999999998</v>
      </c>
      <c r="N8" s="13" t="s">
        <v>119</v>
      </c>
      <c r="O8" s="11"/>
      <c r="P8" s="11"/>
      <c r="Q8" s="11"/>
      <c r="R8" s="11"/>
    </row>
    <row r="9" spans="1:18" ht="24.75" thickBot="1">
      <c r="A9" s="6" t="s">
        <v>168</v>
      </c>
      <c r="B9" s="31"/>
      <c r="C9" s="31">
        <v>9.9499999999999993</v>
      </c>
      <c r="D9" s="31">
        <v>2.1</v>
      </c>
      <c r="E9" s="32">
        <v>1000</v>
      </c>
      <c r="F9" s="31"/>
      <c r="G9" s="32"/>
      <c r="H9" s="31">
        <f t="shared" ref="H9:H36" si="1">(C9)+(D9*13)</f>
        <v>37.25</v>
      </c>
      <c r="I9" s="31">
        <v>15.6</v>
      </c>
      <c r="J9" s="31">
        <v>7.42</v>
      </c>
      <c r="K9" s="31">
        <f t="shared" ref="K9:K36" si="2">7.42*13</f>
        <v>96.46</v>
      </c>
      <c r="L9" s="31">
        <f t="shared" ref="L9:L36" si="3">I9+K9</f>
        <v>112.05999999999999</v>
      </c>
      <c r="M9" s="31">
        <f t="shared" si="0"/>
        <v>149.31</v>
      </c>
      <c r="N9" s="13" t="s">
        <v>69</v>
      </c>
      <c r="O9" s="11"/>
      <c r="P9" s="11"/>
      <c r="Q9" s="11"/>
      <c r="R9" s="11"/>
    </row>
    <row r="10" spans="1:18" ht="15.75" thickBot="1">
      <c r="A10" s="6" t="s">
        <v>169</v>
      </c>
      <c r="B10" s="31"/>
      <c r="C10" s="31">
        <v>2</v>
      </c>
      <c r="D10" s="31">
        <v>2.5</v>
      </c>
      <c r="E10" s="32">
        <v>1000</v>
      </c>
      <c r="F10" s="31" t="s">
        <v>11</v>
      </c>
      <c r="G10" s="32" t="s">
        <v>11</v>
      </c>
      <c r="H10" s="31">
        <f t="shared" si="1"/>
        <v>34.5</v>
      </c>
      <c r="I10" s="31">
        <v>15.6</v>
      </c>
      <c r="J10" s="31">
        <v>7.42</v>
      </c>
      <c r="K10" s="31">
        <f t="shared" si="2"/>
        <v>96.46</v>
      </c>
      <c r="L10" s="31">
        <f t="shared" si="3"/>
        <v>112.05999999999999</v>
      </c>
      <c r="M10" s="31">
        <f t="shared" si="0"/>
        <v>146.56</v>
      </c>
      <c r="N10" s="13" t="s">
        <v>104</v>
      </c>
      <c r="O10" s="11"/>
      <c r="P10" s="11"/>
      <c r="Q10" s="11"/>
      <c r="R10" s="11"/>
    </row>
    <row r="11" spans="1:18" ht="24.75" thickBot="1">
      <c r="A11" s="6" t="s">
        <v>170</v>
      </c>
      <c r="B11" s="31"/>
      <c r="C11" s="31">
        <v>0</v>
      </c>
      <c r="D11" s="31">
        <v>0</v>
      </c>
      <c r="E11" s="32">
        <v>1000</v>
      </c>
      <c r="F11" s="31"/>
      <c r="G11" s="32"/>
      <c r="H11" s="31">
        <f t="shared" si="1"/>
        <v>0</v>
      </c>
      <c r="I11" s="31">
        <v>15.6</v>
      </c>
      <c r="J11" s="31">
        <v>7.42</v>
      </c>
      <c r="K11" s="31">
        <f t="shared" si="2"/>
        <v>96.46</v>
      </c>
      <c r="L11" s="31">
        <f t="shared" si="3"/>
        <v>112.05999999999999</v>
      </c>
      <c r="M11" s="31">
        <f t="shared" si="0"/>
        <v>112.05999999999999</v>
      </c>
      <c r="N11" s="13" t="s">
        <v>111</v>
      </c>
      <c r="O11" s="11"/>
      <c r="P11" s="11"/>
      <c r="Q11" s="11"/>
      <c r="R11" s="11"/>
    </row>
    <row r="12" spans="1:18" ht="24.75" thickBot="1">
      <c r="A12" s="6" t="s">
        <v>171</v>
      </c>
      <c r="B12" s="31"/>
      <c r="C12" s="31">
        <v>0</v>
      </c>
      <c r="D12" s="31">
        <v>5</v>
      </c>
      <c r="E12" s="32">
        <v>1000</v>
      </c>
      <c r="F12" s="31"/>
      <c r="G12" s="32"/>
      <c r="H12" s="31">
        <f t="shared" si="1"/>
        <v>65</v>
      </c>
      <c r="I12" s="31">
        <v>15.6</v>
      </c>
      <c r="J12" s="31">
        <v>7.42</v>
      </c>
      <c r="K12" s="31">
        <f t="shared" si="2"/>
        <v>96.46</v>
      </c>
      <c r="L12" s="31">
        <f t="shared" si="3"/>
        <v>112.05999999999999</v>
      </c>
      <c r="M12" s="31">
        <f t="shared" si="0"/>
        <v>177.06</v>
      </c>
      <c r="N12" s="13" t="s">
        <v>70</v>
      </c>
      <c r="O12" s="11"/>
      <c r="P12" s="11"/>
      <c r="Q12" s="11"/>
      <c r="R12" s="11"/>
    </row>
    <row r="13" spans="1:18" ht="24.75" thickBot="1">
      <c r="A13" s="6" t="s">
        <v>172</v>
      </c>
      <c r="B13" s="31"/>
      <c r="C13" s="31">
        <f>45-15.6</f>
        <v>29.4</v>
      </c>
      <c r="D13" s="31">
        <f>9.5-7.42</f>
        <v>2.08</v>
      </c>
      <c r="E13" s="32">
        <v>1000</v>
      </c>
      <c r="F13" s="31"/>
      <c r="G13" s="32"/>
      <c r="H13" s="31">
        <f>(C13)+(D13*13)</f>
        <v>56.44</v>
      </c>
      <c r="I13" s="31">
        <v>15.6</v>
      </c>
      <c r="J13" s="31">
        <v>7.42</v>
      </c>
      <c r="K13" s="31">
        <f t="shared" si="2"/>
        <v>96.46</v>
      </c>
      <c r="L13" s="31">
        <f t="shared" si="3"/>
        <v>112.05999999999999</v>
      </c>
      <c r="M13" s="31">
        <f>H13+L13</f>
        <v>168.5</v>
      </c>
      <c r="N13" s="13" t="s">
        <v>118</v>
      </c>
      <c r="O13" s="11"/>
      <c r="P13" s="11"/>
      <c r="Q13" s="11"/>
      <c r="R13" s="11"/>
    </row>
    <row r="14" spans="1:18" ht="24.75" thickBot="1">
      <c r="A14" s="6" t="s">
        <v>173</v>
      </c>
      <c r="B14" s="31"/>
      <c r="C14" s="31">
        <v>2</v>
      </c>
      <c r="D14" s="31">
        <f>11.58-6.23</f>
        <v>5.35</v>
      </c>
      <c r="E14" s="32">
        <v>1000</v>
      </c>
      <c r="F14" s="31" t="s">
        <v>11</v>
      </c>
      <c r="G14" s="32" t="s">
        <v>11</v>
      </c>
      <c r="H14" s="31">
        <f t="shared" si="1"/>
        <v>71.55</v>
      </c>
      <c r="I14" s="31">
        <v>15.6</v>
      </c>
      <c r="J14" s="31">
        <v>7.42</v>
      </c>
      <c r="K14" s="31">
        <f t="shared" si="2"/>
        <v>96.46</v>
      </c>
      <c r="L14" s="31">
        <f t="shared" si="3"/>
        <v>112.05999999999999</v>
      </c>
      <c r="M14" s="31">
        <f t="shared" si="0"/>
        <v>183.60999999999999</v>
      </c>
      <c r="N14" s="13" t="s">
        <v>102</v>
      </c>
      <c r="O14" s="11"/>
      <c r="P14" s="11"/>
      <c r="Q14" s="11"/>
      <c r="R14" s="11"/>
    </row>
    <row r="15" spans="1:18" ht="18.75" customHeight="1" thickBot="1">
      <c r="A15" s="6" t="s">
        <v>39</v>
      </c>
      <c r="B15" s="31">
        <v>8.33</v>
      </c>
      <c r="C15" s="31"/>
      <c r="D15" s="31">
        <v>3.77</v>
      </c>
      <c r="E15" s="32">
        <v>1000</v>
      </c>
      <c r="F15" s="31"/>
      <c r="G15" s="32"/>
      <c r="H15" s="31">
        <f>(B15*3)+(D15*13)</f>
        <v>74</v>
      </c>
      <c r="I15" s="31">
        <v>15.6</v>
      </c>
      <c r="J15" s="31">
        <v>7.42</v>
      </c>
      <c r="K15" s="31">
        <f t="shared" si="2"/>
        <v>96.46</v>
      </c>
      <c r="L15" s="31">
        <f t="shared" si="3"/>
        <v>112.05999999999999</v>
      </c>
      <c r="M15" s="31">
        <f t="shared" si="0"/>
        <v>186.06</v>
      </c>
      <c r="N15" s="13" t="s">
        <v>117</v>
      </c>
      <c r="O15" s="11"/>
      <c r="P15" s="11"/>
      <c r="Q15" s="11"/>
      <c r="R15" s="11"/>
    </row>
    <row r="16" spans="1:18" ht="15.75" thickBot="1">
      <c r="A16" s="6" t="s">
        <v>174</v>
      </c>
      <c r="B16" s="31"/>
      <c r="C16" s="31">
        <f>24.07-14.51</f>
        <v>9.56</v>
      </c>
      <c r="D16" s="31">
        <v>4.66</v>
      </c>
      <c r="E16" s="32">
        <v>1000</v>
      </c>
      <c r="F16" s="31" t="s">
        <v>11</v>
      </c>
      <c r="G16" s="32" t="s">
        <v>11</v>
      </c>
      <c r="H16" s="31">
        <f t="shared" si="1"/>
        <v>70.14</v>
      </c>
      <c r="I16" s="31">
        <v>15.6</v>
      </c>
      <c r="J16" s="31">
        <v>7.42</v>
      </c>
      <c r="K16" s="31">
        <f t="shared" si="2"/>
        <v>96.46</v>
      </c>
      <c r="L16" s="31">
        <f t="shared" si="3"/>
        <v>112.05999999999999</v>
      </c>
      <c r="M16" s="31">
        <f t="shared" si="0"/>
        <v>182.2</v>
      </c>
      <c r="N16" s="13" t="s">
        <v>101</v>
      </c>
      <c r="O16" s="11"/>
      <c r="P16" s="11"/>
      <c r="Q16" s="11"/>
      <c r="R16" s="11"/>
    </row>
    <row r="17" spans="1:18" ht="18" thickBot="1">
      <c r="A17" s="6" t="s">
        <v>141</v>
      </c>
      <c r="B17" s="31"/>
      <c r="C17" s="31">
        <f>(21.25-11.78)+63</f>
        <v>72.47</v>
      </c>
      <c r="D17" s="31">
        <f>6.15-5.78</f>
        <v>0.37000000000000011</v>
      </c>
      <c r="E17" s="32">
        <v>1000</v>
      </c>
      <c r="F17" s="31"/>
      <c r="G17" s="32"/>
      <c r="H17" s="31">
        <f t="shared" si="1"/>
        <v>77.28</v>
      </c>
      <c r="I17" s="31">
        <v>15.6</v>
      </c>
      <c r="J17" s="31">
        <v>7.42</v>
      </c>
      <c r="K17" s="31">
        <f t="shared" si="2"/>
        <v>96.46</v>
      </c>
      <c r="L17" s="31">
        <f t="shared" si="3"/>
        <v>112.05999999999999</v>
      </c>
      <c r="M17" s="31">
        <f t="shared" si="0"/>
        <v>189.33999999999997</v>
      </c>
      <c r="N17" s="13"/>
      <c r="O17" s="11"/>
      <c r="P17" s="11"/>
      <c r="Q17" s="11"/>
      <c r="R17" s="11"/>
    </row>
    <row r="18" spans="1:18" ht="18" thickBot="1">
      <c r="A18" s="6" t="s">
        <v>142</v>
      </c>
      <c r="B18" s="31"/>
      <c r="C18" s="31">
        <f>(21.25-11.78)+27</f>
        <v>36.47</v>
      </c>
      <c r="D18" s="31">
        <f>6.15-5.78</f>
        <v>0.37000000000000011</v>
      </c>
      <c r="E18" s="32">
        <v>1000</v>
      </c>
      <c r="F18" s="31"/>
      <c r="G18" s="32"/>
      <c r="H18" s="31">
        <f t="shared" si="1"/>
        <v>41.28</v>
      </c>
      <c r="I18" s="31">
        <v>15.6</v>
      </c>
      <c r="J18" s="31">
        <v>7.42</v>
      </c>
      <c r="K18" s="31">
        <f t="shared" si="2"/>
        <v>96.46</v>
      </c>
      <c r="L18" s="31">
        <f t="shared" si="3"/>
        <v>112.05999999999999</v>
      </c>
      <c r="M18" s="31">
        <f t="shared" si="0"/>
        <v>153.33999999999997</v>
      </c>
      <c r="N18" s="13"/>
      <c r="O18" s="11"/>
      <c r="P18" s="11"/>
      <c r="Q18" s="11"/>
      <c r="R18" s="11"/>
    </row>
    <row r="19" spans="1:18" ht="15.75" thickBot="1">
      <c r="A19" s="6" t="s">
        <v>85</v>
      </c>
      <c r="B19" s="31"/>
      <c r="C19" s="31">
        <v>75</v>
      </c>
      <c r="D19" s="31">
        <v>1.75</v>
      </c>
      <c r="E19" s="32">
        <v>1000</v>
      </c>
      <c r="F19" s="31"/>
      <c r="G19" s="32"/>
      <c r="H19" s="31">
        <f>(C19)+(D19*13)</f>
        <v>97.75</v>
      </c>
      <c r="I19" s="31">
        <v>15.6</v>
      </c>
      <c r="J19" s="31">
        <v>7.42</v>
      </c>
      <c r="K19" s="31">
        <f t="shared" si="2"/>
        <v>96.46</v>
      </c>
      <c r="L19" s="31">
        <f t="shared" si="3"/>
        <v>112.05999999999999</v>
      </c>
      <c r="M19" s="31">
        <f>H19+L19</f>
        <v>209.81</v>
      </c>
      <c r="N19" s="13" t="s">
        <v>88</v>
      </c>
      <c r="O19" s="11"/>
      <c r="P19" s="11"/>
      <c r="Q19" s="11"/>
      <c r="R19" s="11"/>
    </row>
    <row r="20" spans="1:18" ht="15.75" thickBot="1">
      <c r="A20" s="6" t="s">
        <v>86</v>
      </c>
      <c r="B20" s="31"/>
      <c r="C20" s="31">
        <v>50</v>
      </c>
      <c r="D20" s="31">
        <v>1.75</v>
      </c>
      <c r="E20" s="32">
        <v>1000</v>
      </c>
      <c r="F20" s="31"/>
      <c r="G20" s="32"/>
      <c r="H20" s="31">
        <f t="shared" si="1"/>
        <v>72.75</v>
      </c>
      <c r="I20" s="31">
        <v>15.6</v>
      </c>
      <c r="J20" s="31">
        <v>7.42</v>
      </c>
      <c r="K20" s="31">
        <f t="shared" si="2"/>
        <v>96.46</v>
      </c>
      <c r="L20" s="31">
        <f t="shared" si="3"/>
        <v>112.05999999999999</v>
      </c>
      <c r="M20" s="31">
        <f t="shared" si="0"/>
        <v>184.81</v>
      </c>
      <c r="N20" s="13" t="s">
        <v>88</v>
      </c>
      <c r="O20" s="11"/>
      <c r="P20" s="11"/>
      <c r="Q20" s="11"/>
      <c r="R20" s="11"/>
    </row>
    <row r="21" spans="1:18" ht="15.75" thickBot="1">
      <c r="A21" s="6" t="s">
        <v>48</v>
      </c>
      <c r="B21" s="31"/>
      <c r="C21" s="31"/>
      <c r="D21" s="31">
        <v>1.75</v>
      </c>
      <c r="E21" s="32">
        <v>1000</v>
      </c>
      <c r="F21" s="31"/>
      <c r="G21" s="32"/>
      <c r="H21" s="31">
        <f t="shared" si="1"/>
        <v>22.75</v>
      </c>
      <c r="I21" s="31">
        <v>15.6</v>
      </c>
      <c r="J21" s="31">
        <v>7.42</v>
      </c>
      <c r="K21" s="31">
        <f t="shared" si="2"/>
        <v>96.46</v>
      </c>
      <c r="L21" s="31">
        <f t="shared" si="3"/>
        <v>112.05999999999999</v>
      </c>
      <c r="M21" s="31">
        <f t="shared" si="0"/>
        <v>134.81</v>
      </c>
      <c r="N21" s="13" t="s">
        <v>88</v>
      </c>
      <c r="O21" s="11"/>
      <c r="P21" s="11"/>
      <c r="Q21" s="11"/>
      <c r="R21" s="11"/>
    </row>
    <row r="22" spans="1:18" ht="15.75" thickBot="1">
      <c r="A22" s="6" t="s">
        <v>87</v>
      </c>
      <c r="B22" s="31"/>
      <c r="C22" s="31"/>
      <c r="D22" s="31">
        <v>1.75</v>
      </c>
      <c r="E22" s="32">
        <v>1000</v>
      </c>
      <c r="F22" s="31"/>
      <c r="G22" s="32"/>
      <c r="H22" s="31">
        <f t="shared" si="1"/>
        <v>22.75</v>
      </c>
      <c r="I22" s="31">
        <v>15.6</v>
      </c>
      <c r="J22" s="31">
        <v>7.42</v>
      </c>
      <c r="K22" s="31">
        <f t="shared" si="2"/>
        <v>96.46</v>
      </c>
      <c r="L22" s="31">
        <f>I22+K22</f>
        <v>112.05999999999999</v>
      </c>
      <c r="M22" s="31">
        <f t="shared" si="0"/>
        <v>134.81</v>
      </c>
      <c r="N22" s="13" t="s">
        <v>88</v>
      </c>
      <c r="O22" s="11"/>
      <c r="P22" s="11"/>
      <c r="Q22" s="11"/>
      <c r="R22" s="11"/>
    </row>
    <row r="23" spans="1:18" ht="20.25" customHeight="1" thickBot="1">
      <c r="A23" s="6" t="s">
        <v>175</v>
      </c>
      <c r="B23" s="31"/>
      <c r="C23" s="31">
        <v>2.1</v>
      </c>
      <c r="D23" s="31">
        <v>4</v>
      </c>
      <c r="E23" s="32">
        <v>1000</v>
      </c>
      <c r="F23" s="31"/>
      <c r="G23" s="32"/>
      <c r="H23" s="31">
        <f t="shared" si="1"/>
        <v>54.1</v>
      </c>
      <c r="I23" s="31">
        <v>15.6</v>
      </c>
      <c r="J23" s="31">
        <v>7.42</v>
      </c>
      <c r="K23" s="31">
        <f t="shared" si="2"/>
        <v>96.46</v>
      </c>
      <c r="L23" s="31">
        <f t="shared" si="3"/>
        <v>112.05999999999999</v>
      </c>
      <c r="M23" s="31">
        <f t="shared" si="0"/>
        <v>166.16</v>
      </c>
      <c r="N23" s="13" t="s">
        <v>105</v>
      </c>
      <c r="O23" s="11"/>
      <c r="P23" s="11"/>
      <c r="Q23" s="11"/>
      <c r="R23" s="11"/>
    </row>
    <row r="24" spans="1:18" ht="63" customHeight="1" thickBot="1">
      <c r="A24" s="6" t="s">
        <v>127</v>
      </c>
      <c r="B24" s="31"/>
      <c r="C24" s="31">
        <f>21.25-15.6</f>
        <v>5.65</v>
      </c>
      <c r="D24" s="31">
        <f>7.1-7.42</f>
        <v>-0.32000000000000028</v>
      </c>
      <c r="E24" s="32">
        <v>1000</v>
      </c>
      <c r="F24" s="31"/>
      <c r="G24" s="32"/>
      <c r="H24" s="31">
        <f t="shared" si="1"/>
        <v>1.4899999999999967</v>
      </c>
      <c r="I24" s="31">
        <v>15.6</v>
      </c>
      <c r="J24" s="31">
        <v>7.42</v>
      </c>
      <c r="K24" s="31">
        <f t="shared" si="2"/>
        <v>96.46</v>
      </c>
      <c r="L24" s="31">
        <f t="shared" si="3"/>
        <v>112.05999999999999</v>
      </c>
      <c r="M24" s="31">
        <f t="shared" si="0"/>
        <v>113.54999999999998</v>
      </c>
      <c r="N24" s="13" t="s">
        <v>211</v>
      </c>
      <c r="O24" s="11"/>
      <c r="P24" s="11"/>
      <c r="Q24" s="11"/>
      <c r="R24" s="11"/>
    </row>
    <row r="25" spans="1:18" ht="15.75" thickBot="1">
      <c r="A25" s="6" t="s">
        <v>176</v>
      </c>
      <c r="B25" s="31">
        <v>0.8</v>
      </c>
      <c r="C25" s="31">
        <v>1.25</v>
      </c>
      <c r="D25" s="31">
        <v>13.5</v>
      </c>
      <c r="E25" s="32">
        <v>5000</v>
      </c>
      <c r="F25" s="31">
        <v>5</v>
      </c>
      <c r="G25" s="32">
        <v>5001</v>
      </c>
      <c r="H25" s="31">
        <f>(B25*3)+D25+(F25*8)+(C25*13)</f>
        <v>72.150000000000006</v>
      </c>
      <c r="I25" s="31">
        <v>15.6</v>
      </c>
      <c r="J25" s="31">
        <v>7.42</v>
      </c>
      <c r="K25" s="31">
        <f t="shared" si="2"/>
        <v>96.46</v>
      </c>
      <c r="L25" s="31">
        <f t="shared" si="3"/>
        <v>112.05999999999999</v>
      </c>
      <c r="M25" s="31">
        <f>H25+L25</f>
        <v>184.20999999999998</v>
      </c>
      <c r="N25" s="13" t="s">
        <v>115</v>
      </c>
      <c r="O25" s="11"/>
      <c r="P25" s="11"/>
      <c r="Q25" s="11"/>
      <c r="R25" s="11"/>
    </row>
    <row r="26" spans="1:18" ht="26.25" customHeight="1" thickBot="1">
      <c r="A26" s="6" t="s">
        <v>31</v>
      </c>
      <c r="B26" s="31"/>
      <c r="C26" s="31">
        <v>-3.9</v>
      </c>
      <c r="D26" s="31">
        <f>17.3-7.42</f>
        <v>9.8800000000000008</v>
      </c>
      <c r="E26" s="32">
        <v>1000</v>
      </c>
      <c r="F26" s="31"/>
      <c r="G26" s="32"/>
      <c r="H26" s="31">
        <f>(C26)+(D26*13)</f>
        <v>124.53999999999999</v>
      </c>
      <c r="I26" s="31">
        <v>15.6</v>
      </c>
      <c r="J26" s="31">
        <v>7.42</v>
      </c>
      <c r="K26" s="31">
        <f t="shared" si="2"/>
        <v>96.46</v>
      </c>
      <c r="L26" s="31">
        <f t="shared" si="3"/>
        <v>112.05999999999999</v>
      </c>
      <c r="M26" s="31">
        <f t="shared" si="0"/>
        <v>236.59999999999997</v>
      </c>
      <c r="N26" s="13" t="s">
        <v>147</v>
      </c>
      <c r="O26" s="11"/>
      <c r="P26" s="11"/>
      <c r="Q26" s="11"/>
      <c r="R26" s="11"/>
    </row>
    <row r="27" spans="1:18" ht="24.75" thickBot="1">
      <c r="A27" s="6" t="s">
        <v>144</v>
      </c>
      <c r="B27" s="31"/>
      <c r="C27" s="31">
        <v>5.65</v>
      </c>
      <c r="D27" s="31">
        <v>2.25</v>
      </c>
      <c r="E27" s="32">
        <v>1000</v>
      </c>
      <c r="F27" s="31"/>
      <c r="G27" s="32"/>
      <c r="H27" s="31">
        <f t="shared" si="1"/>
        <v>34.9</v>
      </c>
      <c r="I27" s="31">
        <v>15.6</v>
      </c>
      <c r="J27" s="31">
        <v>7.42</v>
      </c>
      <c r="K27" s="31">
        <f t="shared" si="2"/>
        <v>96.46</v>
      </c>
      <c r="L27" s="31">
        <f t="shared" si="3"/>
        <v>112.05999999999999</v>
      </c>
      <c r="M27" s="31">
        <f t="shared" si="0"/>
        <v>146.95999999999998</v>
      </c>
      <c r="N27" s="13" t="s">
        <v>143</v>
      </c>
      <c r="O27" s="11"/>
      <c r="P27" s="11"/>
      <c r="Q27" s="11"/>
      <c r="R27" s="11"/>
    </row>
    <row r="28" spans="1:18" ht="24.75" thickBot="1">
      <c r="A28" s="6" t="s">
        <v>38</v>
      </c>
      <c r="B28" s="31"/>
      <c r="C28" s="31">
        <v>45.16</v>
      </c>
      <c r="D28" s="31">
        <v>1.98</v>
      </c>
      <c r="E28" s="32">
        <v>1000</v>
      </c>
      <c r="F28" s="31"/>
      <c r="G28" s="32"/>
      <c r="H28" s="31">
        <f>(C28)+(D28*13)</f>
        <v>70.899999999999991</v>
      </c>
      <c r="I28" s="31">
        <v>15.6</v>
      </c>
      <c r="J28" s="31">
        <v>7.42</v>
      </c>
      <c r="K28" s="31">
        <f t="shared" si="2"/>
        <v>96.46</v>
      </c>
      <c r="L28" s="31">
        <f t="shared" si="3"/>
        <v>112.05999999999999</v>
      </c>
      <c r="M28" s="31">
        <f>H28+L28</f>
        <v>182.95999999999998</v>
      </c>
      <c r="N28" s="13" t="s">
        <v>66</v>
      </c>
      <c r="O28" s="11"/>
      <c r="P28" s="11"/>
      <c r="Q28" s="11"/>
      <c r="R28" s="11"/>
    </row>
    <row r="29" spans="1:18" ht="18" customHeight="1" thickBot="1">
      <c r="A29" s="6" t="s">
        <v>15</v>
      </c>
      <c r="B29" s="31"/>
      <c r="C29" s="31"/>
      <c r="D29" s="31">
        <f>7.71*3</f>
        <v>23.13</v>
      </c>
      <c r="E29" s="32">
        <v>3000</v>
      </c>
      <c r="F29" s="31">
        <v>6.92</v>
      </c>
      <c r="G29" s="32">
        <v>3001</v>
      </c>
      <c r="H29" s="31">
        <f>D29+(F29*10)</f>
        <v>92.33</v>
      </c>
      <c r="I29" s="31">
        <v>15.6</v>
      </c>
      <c r="J29" s="31">
        <v>7.42</v>
      </c>
      <c r="K29" s="31">
        <f t="shared" si="2"/>
        <v>96.46</v>
      </c>
      <c r="L29" s="31">
        <f t="shared" si="3"/>
        <v>112.05999999999999</v>
      </c>
      <c r="M29" s="31">
        <f t="shared" si="0"/>
        <v>204.39</v>
      </c>
      <c r="N29" s="13" t="s">
        <v>140</v>
      </c>
      <c r="O29" s="11"/>
      <c r="P29" s="11"/>
      <c r="Q29" s="11"/>
      <c r="R29" s="11"/>
    </row>
    <row r="30" spans="1:18" ht="24.75" thickBot="1">
      <c r="A30" s="6" t="s">
        <v>98</v>
      </c>
      <c r="B30" s="31"/>
      <c r="C30" s="31"/>
      <c r="D30" s="31">
        <f>9.42-7.42</f>
        <v>2</v>
      </c>
      <c r="E30" s="32">
        <v>1000</v>
      </c>
      <c r="F30" s="31"/>
      <c r="G30" s="32"/>
      <c r="H30" s="31">
        <f>D30*13</f>
        <v>26</v>
      </c>
      <c r="I30" s="31">
        <v>15.6</v>
      </c>
      <c r="J30" s="31">
        <v>7.42</v>
      </c>
      <c r="K30" s="31">
        <f t="shared" si="2"/>
        <v>96.46</v>
      </c>
      <c r="L30" s="31">
        <f t="shared" si="3"/>
        <v>112.05999999999999</v>
      </c>
      <c r="M30" s="31">
        <f t="shared" si="0"/>
        <v>138.06</v>
      </c>
      <c r="N30" s="13" t="s">
        <v>125</v>
      </c>
      <c r="O30" s="11"/>
      <c r="P30" s="11"/>
      <c r="Q30" s="11"/>
      <c r="R30" s="11"/>
    </row>
    <row r="31" spans="1:18" ht="24.75" thickBot="1">
      <c r="A31" s="6" t="s">
        <v>99</v>
      </c>
      <c r="B31" s="31"/>
      <c r="C31" s="31"/>
      <c r="D31" s="31">
        <f>11.92-7.42</f>
        <v>4.5</v>
      </c>
      <c r="E31" s="32">
        <v>1000</v>
      </c>
      <c r="F31" s="31"/>
      <c r="G31" s="32"/>
      <c r="H31" s="31">
        <f>(D31)*13</f>
        <v>58.5</v>
      </c>
      <c r="I31" s="31">
        <v>15.6</v>
      </c>
      <c r="J31" s="31">
        <v>7.42</v>
      </c>
      <c r="K31" s="31">
        <f t="shared" si="2"/>
        <v>96.46</v>
      </c>
      <c r="L31" s="31">
        <f t="shared" si="3"/>
        <v>112.05999999999999</v>
      </c>
      <c r="M31" s="31">
        <f t="shared" si="0"/>
        <v>170.56</v>
      </c>
      <c r="N31" s="13" t="s">
        <v>126</v>
      </c>
      <c r="O31" s="11"/>
      <c r="P31" s="11"/>
      <c r="Q31" s="11"/>
      <c r="R31" s="11"/>
    </row>
    <row r="32" spans="1:18" ht="24.75" thickBot="1">
      <c r="A32" s="6" t="s">
        <v>177</v>
      </c>
      <c r="B32" s="31"/>
      <c r="C32" s="31">
        <v>4.5</v>
      </c>
      <c r="D32" s="31">
        <v>4.5</v>
      </c>
      <c r="E32" s="32">
        <v>1000</v>
      </c>
      <c r="F32" s="31"/>
      <c r="G32" s="32"/>
      <c r="H32" s="31">
        <f t="shared" si="1"/>
        <v>63</v>
      </c>
      <c r="I32" s="31">
        <v>15.6</v>
      </c>
      <c r="J32" s="31">
        <v>7.42</v>
      </c>
      <c r="K32" s="31">
        <f t="shared" si="2"/>
        <v>96.46</v>
      </c>
      <c r="L32" s="31">
        <f t="shared" si="3"/>
        <v>112.05999999999999</v>
      </c>
      <c r="M32" s="31">
        <f t="shared" si="0"/>
        <v>175.06</v>
      </c>
      <c r="N32" s="13" t="s">
        <v>133</v>
      </c>
      <c r="O32" s="11"/>
      <c r="P32" s="11"/>
      <c r="Q32" s="11"/>
      <c r="R32" s="11"/>
    </row>
    <row r="33" spans="1:18" ht="24.75" thickBot="1">
      <c r="A33" s="6" t="s">
        <v>178</v>
      </c>
      <c r="B33" s="31"/>
      <c r="C33" s="31">
        <v>9.48</v>
      </c>
      <c r="D33" s="31">
        <v>2</v>
      </c>
      <c r="E33" s="32">
        <v>1000</v>
      </c>
      <c r="F33" s="31" t="s">
        <v>11</v>
      </c>
      <c r="G33" s="32" t="s">
        <v>11</v>
      </c>
      <c r="H33" s="31">
        <f t="shared" si="1"/>
        <v>35.480000000000004</v>
      </c>
      <c r="I33" s="31">
        <v>15.6</v>
      </c>
      <c r="J33" s="31">
        <v>7.42</v>
      </c>
      <c r="K33" s="31">
        <f t="shared" si="2"/>
        <v>96.46</v>
      </c>
      <c r="L33" s="31">
        <f t="shared" si="3"/>
        <v>112.05999999999999</v>
      </c>
      <c r="M33" s="31">
        <f t="shared" si="0"/>
        <v>147.54</v>
      </c>
      <c r="N33" s="13" t="s">
        <v>80</v>
      </c>
      <c r="O33" s="11"/>
      <c r="P33" s="11"/>
      <c r="Q33" s="11"/>
      <c r="R33" s="11"/>
    </row>
    <row r="34" spans="1:18" ht="15.75" customHeight="1" thickBot="1">
      <c r="A34" s="6" t="s">
        <v>179</v>
      </c>
      <c r="B34" s="31"/>
      <c r="C34" s="31"/>
      <c r="D34" s="31">
        <v>8.5</v>
      </c>
      <c r="E34" s="32">
        <v>3000</v>
      </c>
      <c r="F34" s="31">
        <v>2.5</v>
      </c>
      <c r="G34" s="32">
        <v>3001</v>
      </c>
      <c r="H34" s="31">
        <f>(D34)+(F34*10)</f>
        <v>33.5</v>
      </c>
      <c r="I34" s="31">
        <v>15.6</v>
      </c>
      <c r="J34" s="31">
        <v>7.42</v>
      </c>
      <c r="K34" s="31">
        <f t="shared" si="2"/>
        <v>96.46</v>
      </c>
      <c r="L34" s="31">
        <f t="shared" si="3"/>
        <v>112.05999999999999</v>
      </c>
      <c r="M34" s="31">
        <f t="shared" si="0"/>
        <v>145.56</v>
      </c>
      <c r="N34" s="13" t="s">
        <v>148</v>
      </c>
      <c r="O34" s="11"/>
      <c r="P34" s="11"/>
      <c r="Q34" s="11"/>
      <c r="R34" s="11"/>
    </row>
    <row r="35" spans="1:18" ht="15.75" thickBot="1">
      <c r="A35" s="6" t="s">
        <v>19</v>
      </c>
      <c r="B35" s="31"/>
      <c r="C35" s="31"/>
      <c r="D35" s="31">
        <f>31.74- 10.4 -(2*7.42)</f>
        <v>6.4999999999999964</v>
      </c>
      <c r="E35" s="32">
        <v>2000</v>
      </c>
      <c r="F35" s="31">
        <f>8.55-7.42</f>
        <v>1.1300000000000008</v>
      </c>
      <c r="G35" s="32">
        <v>2001</v>
      </c>
      <c r="H35" s="31">
        <f>(D35)+(F35*11)</f>
        <v>18.930000000000007</v>
      </c>
      <c r="I35" s="31">
        <v>15.6</v>
      </c>
      <c r="J35" s="31">
        <v>7.42</v>
      </c>
      <c r="K35" s="31">
        <f t="shared" si="2"/>
        <v>96.46</v>
      </c>
      <c r="L35" s="31">
        <f t="shared" si="3"/>
        <v>112.05999999999999</v>
      </c>
      <c r="M35" s="31">
        <f>H35+L35</f>
        <v>130.99</v>
      </c>
      <c r="N35" s="13" t="s">
        <v>84</v>
      </c>
      <c r="O35" s="11"/>
      <c r="P35" s="11"/>
      <c r="Q35" s="11"/>
      <c r="R35" s="11"/>
    </row>
    <row r="36" spans="1:18" ht="20.25" customHeight="1" thickBot="1">
      <c r="A36" s="6" t="s">
        <v>180</v>
      </c>
      <c r="B36" s="31"/>
      <c r="C36" s="31">
        <v>39.43</v>
      </c>
      <c r="D36" s="31">
        <v>3.99</v>
      </c>
      <c r="E36" s="32">
        <v>1000</v>
      </c>
      <c r="F36" s="31"/>
      <c r="G36" s="32"/>
      <c r="H36" s="31">
        <f t="shared" si="1"/>
        <v>91.300000000000011</v>
      </c>
      <c r="I36" s="31">
        <v>15.6</v>
      </c>
      <c r="J36" s="31">
        <v>7.42</v>
      </c>
      <c r="K36" s="31">
        <f t="shared" si="2"/>
        <v>96.46</v>
      </c>
      <c r="L36" s="31">
        <f t="shared" si="3"/>
        <v>112.05999999999999</v>
      </c>
      <c r="M36" s="31">
        <f t="shared" si="0"/>
        <v>203.36</v>
      </c>
      <c r="N36" s="13" t="s">
        <v>100</v>
      </c>
      <c r="O36" s="11"/>
      <c r="P36" s="11"/>
      <c r="Q36" s="11"/>
      <c r="R36" s="11"/>
    </row>
    <row r="37" spans="1:18">
      <c r="I37" s="5" t="s">
        <v>11</v>
      </c>
      <c r="K37" s="5" t="s">
        <v>11</v>
      </c>
    </row>
    <row r="38" spans="1:18">
      <c r="A38" s="3" t="s">
        <v>17</v>
      </c>
      <c r="B38" s="4" t="s">
        <v>206</v>
      </c>
    </row>
    <row r="40" spans="1:18">
      <c r="B40" s="5" t="s">
        <v>210</v>
      </c>
    </row>
  </sheetData>
  <sheetProtection formatCells="0" formatColumns="0" formatRows="0"/>
  <pageMargins left="0.7" right="0.7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opLeftCell="A19" zoomScaleNormal="100" workbookViewId="0">
      <selection activeCell="C30" sqref="C30"/>
    </sheetView>
  </sheetViews>
  <sheetFormatPr defaultColWidth="9.140625" defaultRowHeight="15"/>
  <cols>
    <col min="1" max="1" width="27.7109375" style="5" customWidth="1"/>
    <col min="2" max="2" width="11.5703125" style="5" customWidth="1"/>
    <col min="3" max="3" width="9.28515625" style="5" customWidth="1"/>
    <col min="4" max="5" width="9" style="5" customWidth="1"/>
    <col min="6" max="7" width="6.42578125" style="5" customWidth="1"/>
    <col min="8" max="8" width="15.85546875" style="5" customWidth="1"/>
    <col min="9" max="9" width="12.85546875" style="5" customWidth="1"/>
    <col min="10" max="10" width="11.7109375" style="5" customWidth="1"/>
    <col min="11" max="11" width="16.5703125" style="5" customWidth="1"/>
    <col min="12" max="12" width="17" style="5" customWidth="1"/>
    <col min="13" max="13" width="17.28515625" style="5" customWidth="1"/>
    <col min="14" max="14" width="63" style="11" customWidth="1"/>
    <col min="15" max="16384" width="9.140625" style="5"/>
  </cols>
  <sheetData>
    <row r="1" spans="1:14" ht="18.75">
      <c r="A1" s="15" t="s">
        <v>128</v>
      </c>
    </row>
    <row r="2" spans="1:14" ht="15.75">
      <c r="A2" s="16" t="s">
        <v>20</v>
      </c>
      <c r="C2" s="1"/>
    </row>
    <row r="3" spans="1:14">
      <c r="A3" s="5" t="s">
        <v>207</v>
      </c>
      <c r="B3" s="1"/>
    </row>
    <row r="4" spans="1:14">
      <c r="A4" s="5" t="s">
        <v>205</v>
      </c>
      <c r="C4" s="1"/>
      <c r="D4" s="1"/>
    </row>
    <row r="5" spans="1:14" ht="15.75" thickBot="1">
      <c r="C5" s="1"/>
      <c r="D5" s="1"/>
    </row>
    <row r="6" spans="1:14" ht="30.75" thickBot="1">
      <c r="A6" s="29" t="s">
        <v>197</v>
      </c>
      <c r="B6" s="42" t="s">
        <v>198</v>
      </c>
      <c r="C6" s="6"/>
      <c r="D6" s="30" t="s">
        <v>130</v>
      </c>
      <c r="E6" s="30"/>
      <c r="F6" s="30" t="s">
        <v>3</v>
      </c>
      <c r="G6" s="6"/>
      <c r="H6" s="44" t="s">
        <v>200</v>
      </c>
      <c r="I6" s="44" t="s">
        <v>193</v>
      </c>
      <c r="J6" s="44" t="s">
        <v>194</v>
      </c>
      <c r="K6" s="44" t="s">
        <v>4</v>
      </c>
      <c r="L6" s="44" t="s">
        <v>203</v>
      </c>
      <c r="M6" s="44" t="s">
        <v>199</v>
      </c>
      <c r="N6" s="14" t="s">
        <v>1</v>
      </c>
    </row>
    <row r="7" spans="1:14" ht="30.75" thickBot="1">
      <c r="A7" s="7"/>
      <c r="B7" s="30" t="s">
        <v>5</v>
      </c>
      <c r="C7" s="30" t="s">
        <v>6</v>
      </c>
      <c r="D7" s="30" t="s">
        <v>7</v>
      </c>
      <c r="E7" s="30" t="s">
        <v>8</v>
      </c>
      <c r="F7" s="30" t="s">
        <v>7</v>
      </c>
      <c r="G7" s="30" t="s">
        <v>9</v>
      </c>
      <c r="H7" s="46" t="s">
        <v>201</v>
      </c>
      <c r="I7" s="46" t="s">
        <v>10</v>
      </c>
      <c r="J7" s="46" t="s">
        <v>195</v>
      </c>
      <c r="K7" s="46" t="s">
        <v>202</v>
      </c>
      <c r="L7" s="46" t="s">
        <v>202</v>
      </c>
      <c r="M7" s="46" t="s">
        <v>204</v>
      </c>
      <c r="N7" s="14"/>
    </row>
    <row r="8" spans="1:14" ht="25.5" thickBot="1">
      <c r="A8" s="20" t="s">
        <v>181</v>
      </c>
      <c r="B8" s="31">
        <f>6.75-(15.6/3)</f>
        <v>1.5499999999999998</v>
      </c>
      <c r="C8" s="31"/>
      <c r="D8" s="31">
        <f>11.52-7.42</f>
        <v>4.0999999999999996</v>
      </c>
      <c r="E8" s="32">
        <v>1000</v>
      </c>
      <c r="F8" s="31"/>
      <c r="G8" s="32"/>
      <c r="H8" s="31">
        <f>(B8*3)+(D8*13)</f>
        <v>57.949999999999996</v>
      </c>
      <c r="I8" s="31">
        <v>15.6</v>
      </c>
      <c r="J8" s="31">
        <v>7.42</v>
      </c>
      <c r="K8" s="31">
        <f>7.42*13</f>
        <v>96.46</v>
      </c>
      <c r="L8" s="31">
        <f>I8+K8</f>
        <v>112.05999999999999</v>
      </c>
      <c r="M8" s="31">
        <f>H8+L8</f>
        <v>170.01</v>
      </c>
      <c r="N8" s="14" t="s">
        <v>131</v>
      </c>
    </row>
    <row r="9" spans="1:14" ht="25.5" thickBot="1">
      <c r="A9" s="10" t="s">
        <v>182</v>
      </c>
      <c r="B9" s="31"/>
      <c r="C9" s="31"/>
      <c r="D9" s="31">
        <v>5.5</v>
      </c>
      <c r="E9" s="32">
        <v>1000</v>
      </c>
      <c r="F9" s="31"/>
      <c r="G9" s="32"/>
      <c r="H9" s="31">
        <f t="shared" ref="H9:H43" si="0">(B9*3)+(D9*13)</f>
        <v>71.5</v>
      </c>
      <c r="I9" s="31">
        <v>15.6</v>
      </c>
      <c r="J9" s="31">
        <v>7.42</v>
      </c>
      <c r="K9" s="31">
        <f t="shared" ref="K9:K43" si="1">7.42*13</f>
        <v>96.46</v>
      </c>
      <c r="L9" s="31">
        <f t="shared" ref="L9:L43" si="2">I9+K9</f>
        <v>112.05999999999999</v>
      </c>
      <c r="M9" s="31">
        <f t="shared" ref="M9:M43" si="3">H9+L9</f>
        <v>183.56</v>
      </c>
      <c r="N9" s="14" t="s">
        <v>108</v>
      </c>
    </row>
    <row r="10" spans="1:14" ht="25.5" thickBot="1">
      <c r="A10" s="10" t="s">
        <v>25</v>
      </c>
      <c r="B10" s="31">
        <f>15-5.2</f>
        <v>9.8000000000000007</v>
      </c>
      <c r="C10" s="31" t="s">
        <v>11</v>
      </c>
      <c r="D10" s="31">
        <f>9-7.42</f>
        <v>1.58</v>
      </c>
      <c r="E10" s="32">
        <v>1000</v>
      </c>
      <c r="F10" s="31"/>
      <c r="G10" s="32"/>
      <c r="H10" s="31">
        <f t="shared" si="0"/>
        <v>49.94</v>
      </c>
      <c r="I10" s="31">
        <v>15.6</v>
      </c>
      <c r="J10" s="31">
        <v>7.42</v>
      </c>
      <c r="K10" s="31">
        <f t="shared" si="1"/>
        <v>96.46</v>
      </c>
      <c r="L10" s="31">
        <f t="shared" si="2"/>
        <v>112.05999999999999</v>
      </c>
      <c r="M10" s="31">
        <f>H10+L10</f>
        <v>162</v>
      </c>
      <c r="N10" s="14" t="s">
        <v>76</v>
      </c>
    </row>
    <row r="11" spans="1:14" ht="25.5" thickBot="1">
      <c r="A11" s="10" t="s">
        <v>24</v>
      </c>
      <c r="B11" s="31">
        <f>9.77-5.2</f>
        <v>4.5699999999999994</v>
      </c>
      <c r="C11" s="31"/>
      <c r="D11" s="31">
        <f>16.34-7.42</f>
        <v>8.92</v>
      </c>
      <c r="E11" s="32">
        <v>1000</v>
      </c>
      <c r="F11" s="31"/>
      <c r="G11" s="32"/>
      <c r="H11" s="31">
        <f t="shared" si="0"/>
        <v>129.66999999999999</v>
      </c>
      <c r="I11" s="31">
        <v>15.6</v>
      </c>
      <c r="J11" s="31">
        <v>7.42</v>
      </c>
      <c r="K11" s="31">
        <f t="shared" si="1"/>
        <v>96.46</v>
      </c>
      <c r="L11" s="31">
        <f t="shared" si="2"/>
        <v>112.05999999999999</v>
      </c>
      <c r="M11" s="31">
        <f t="shared" si="3"/>
        <v>241.72999999999996</v>
      </c>
      <c r="N11" s="14" t="s">
        <v>112</v>
      </c>
    </row>
    <row r="12" spans="1:14" ht="15.75" thickBot="1">
      <c r="A12" s="10" t="s">
        <v>37</v>
      </c>
      <c r="B12" s="31"/>
      <c r="C12" s="31" t="s">
        <v>11</v>
      </c>
      <c r="D12" s="31">
        <v>6.23</v>
      </c>
      <c r="E12" s="32">
        <v>1000</v>
      </c>
      <c r="F12" s="31"/>
      <c r="G12" s="32"/>
      <c r="H12" s="31">
        <f t="shared" si="0"/>
        <v>80.990000000000009</v>
      </c>
      <c r="I12" s="31">
        <v>15.6</v>
      </c>
      <c r="J12" s="31">
        <v>7.42</v>
      </c>
      <c r="K12" s="31">
        <f t="shared" si="1"/>
        <v>96.46</v>
      </c>
      <c r="L12" s="31">
        <f t="shared" si="2"/>
        <v>112.05999999999999</v>
      </c>
      <c r="M12" s="31">
        <f t="shared" si="3"/>
        <v>193.05</v>
      </c>
      <c r="N12" s="14" t="s">
        <v>75</v>
      </c>
    </row>
    <row r="13" spans="1:14" ht="25.5" thickBot="1">
      <c r="A13" s="10" t="s">
        <v>30</v>
      </c>
      <c r="B13" s="31"/>
      <c r="C13" s="31"/>
      <c r="D13" s="31">
        <v>6.35</v>
      </c>
      <c r="E13" s="32">
        <v>1000</v>
      </c>
      <c r="F13" s="31"/>
      <c r="G13" s="32"/>
      <c r="H13" s="31">
        <f t="shared" si="0"/>
        <v>82.55</v>
      </c>
      <c r="I13" s="31">
        <v>15.6</v>
      </c>
      <c r="J13" s="31">
        <v>7.42</v>
      </c>
      <c r="K13" s="31">
        <f t="shared" si="1"/>
        <v>96.46</v>
      </c>
      <c r="L13" s="31">
        <f t="shared" si="2"/>
        <v>112.05999999999999</v>
      </c>
      <c r="M13" s="31">
        <f t="shared" si="3"/>
        <v>194.60999999999999</v>
      </c>
      <c r="N13" s="14" t="s">
        <v>61</v>
      </c>
    </row>
    <row r="14" spans="1:14" ht="15.75" thickBot="1">
      <c r="A14" s="10" t="s">
        <v>43</v>
      </c>
      <c r="B14" s="31"/>
      <c r="C14" s="31" t="s">
        <v>11</v>
      </c>
      <c r="D14" s="31">
        <v>6.6</v>
      </c>
      <c r="E14" s="32">
        <v>1000</v>
      </c>
      <c r="F14" s="31"/>
      <c r="G14" s="32"/>
      <c r="H14" s="31">
        <f t="shared" si="0"/>
        <v>85.8</v>
      </c>
      <c r="I14" s="31">
        <v>15.6</v>
      </c>
      <c r="J14" s="31">
        <v>7.42</v>
      </c>
      <c r="K14" s="31">
        <f t="shared" si="1"/>
        <v>96.46</v>
      </c>
      <c r="L14" s="31">
        <f t="shared" si="2"/>
        <v>112.05999999999999</v>
      </c>
      <c r="M14" s="31">
        <f t="shared" si="3"/>
        <v>197.85999999999999</v>
      </c>
      <c r="N14" s="14" t="s">
        <v>63</v>
      </c>
    </row>
    <row r="15" spans="1:14" ht="25.5" thickBot="1">
      <c r="A15" s="10" t="s">
        <v>36</v>
      </c>
      <c r="B15" s="31">
        <f>6.2-5.2</f>
        <v>1</v>
      </c>
      <c r="C15" s="6"/>
      <c r="D15" s="31">
        <f>12.65-7.42</f>
        <v>5.23</v>
      </c>
      <c r="E15" s="32">
        <v>1000</v>
      </c>
      <c r="F15" s="31"/>
      <c r="G15" s="32"/>
      <c r="H15" s="31">
        <f>(B15*3)+(D15*13)</f>
        <v>70.990000000000009</v>
      </c>
      <c r="I15" s="31">
        <v>15.6</v>
      </c>
      <c r="J15" s="31">
        <v>7.42</v>
      </c>
      <c r="K15" s="31">
        <f t="shared" si="1"/>
        <v>96.46</v>
      </c>
      <c r="L15" s="31">
        <f t="shared" si="2"/>
        <v>112.05999999999999</v>
      </c>
      <c r="M15" s="31">
        <f t="shared" si="3"/>
        <v>183.05</v>
      </c>
      <c r="N15" s="14" t="s">
        <v>139</v>
      </c>
    </row>
    <row r="16" spans="1:14" ht="15.75" thickBot="1">
      <c r="A16" s="10" t="s">
        <v>183</v>
      </c>
      <c r="B16" s="31">
        <v>2.25</v>
      </c>
      <c r="C16" s="31" t="s">
        <v>11</v>
      </c>
      <c r="D16" s="31">
        <v>8.4</v>
      </c>
      <c r="E16" s="32">
        <v>1000</v>
      </c>
      <c r="F16" s="31"/>
      <c r="G16" s="32"/>
      <c r="H16" s="31">
        <f t="shared" si="0"/>
        <v>115.95</v>
      </c>
      <c r="I16" s="31">
        <v>15.6</v>
      </c>
      <c r="J16" s="31">
        <v>7.42</v>
      </c>
      <c r="K16" s="31">
        <f t="shared" si="1"/>
        <v>96.46</v>
      </c>
      <c r="L16" s="31">
        <f t="shared" si="2"/>
        <v>112.05999999999999</v>
      </c>
      <c r="M16" s="31">
        <f t="shared" si="3"/>
        <v>228.01</v>
      </c>
      <c r="N16" s="14" t="s">
        <v>60</v>
      </c>
    </row>
    <row r="17" spans="1:14" ht="15.75" thickBot="1">
      <c r="A17" s="10" t="s">
        <v>184</v>
      </c>
      <c r="B17" s="31"/>
      <c r="C17" s="31" t="s">
        <v>11</v>
      </c>
      <c r="D17" s="31">
        <v>4.5</v>
      </c>
      <c r="E17" s="32">
        <v>1000</v>
      </c>
      <c r="F17" s="31"/>
      <c r="G17" s="32"/>
      <c r="H17" s="31">
        <f t="shared" si="0"/>
        <v>58.5</v>
      </c>
      <c r="I17" s="31">
        <v>15.6</v>
      </c>
      <c r="J17" s="31">
        <v>7.42</v>
      </c>
      <c r="K17" s="31">
        <f t="shared" si="1"/>
        <v>96.46</v>
      </c>
      <c r="L17" s="31">
        <f t="shared" si="2"/>
        <v>112.05999999999999</v>
      </c>
      <c r="M17" s="31">
        <f t="shared" si="3"/>
        <v>170.56</v>
      </c>
      <c r="N17" s="14"/>
    </row>
    <row r="18" spans="1:14" ht="15.75" thickBot="1">
      <c r="A18" s="10" t="s">
        <v>35</v>
      </c>
      <c r="B18" s="31"/>
      <c r="C18" s="31" t="s">
        <v>11</v>
      </c>
      <c r="D18" s="31">
        <v>4.5</v>
      </c>
      <c r="E18" s="32">
        <v>1000</v>
      </c>
      <c r="F18" s="31"/>
      <c r="G18" s="32"/>
      <c r="H18" s="31">
        <f t="shared" si="0"/>
        <v>58.5</v>
      </c>
      <c r="I18" s="31">
        <v>15.6</v>
      </c>
      <c r="J18" s="31">
        <v>7.42</v>
      </c>
      <c r="K18" s="31">
        <f t="shared" si="1"/>
        <v>96.46</v>
      </c>
      <c r="L18" s="31">
        <f t="shared" si="2"/>
        <v>112.05999999999999</v>
      </c>
      <c r="M18" s="31">
        <f t="shared" si="3"/>
        <v>170.56</v>
      </c>
      <c r="N18" s="14" t="s">
        <v>77</v>
      </c>
    </row>
    <row r="19" spans="1:14" ht="15.75" thickBot="1">
      <c r="A19" s="10" t="s">
        <v>46</v>
      </c>
      <c r="B19" s="31">
        <v>5.48</v>
      </c>
      <c r="C19" s="31"/>
      <c r="D19" s="31">
        <f>8.62</f>
        <v>8.6199999999999992</v>
      </c>
      <c r="E19" s="32">
        <v>1000</v>
      </c>
      <c r="F19" s="31"/>
      <c r="G19" s="32"/>
      <c r="H19" s="31">
        <f t="shared" si="0"/>
        <v>128.5</v>
      </c>
      <c r="I19" s="31">
        <v>15.6</v>
      </c>
      <c r="J19" s="31">
        <v>7.42</v>
      </c>
      <c r="K19" s="31">
        <f t="shared" si="1"/>
        <v>96.46</v>
      </c>
      <c r="L19" s="31">
        <f t="shared" si="2"/>
        <v>112.05999999999999</v>
      </c>
      <c r="M19" s="31">
        <f t="shared" si="3"/>
        <v>240.56</v>
      </c>
      <c r="N19" s="14" t="s">
        <v>121</v>
      </c>
    </row>
    <row r="20" spans="1:14" ht="25.5" thickBot="1">
      <c r="A20" s="21" t="s">
        <v>32</v>
      </c>
      <c r="B20" s="31">
        <f>9.27-5.2</f>
        <v>4.0699999999999994</v>
      </c>
      <c r="C20" s="31" t="s">
        <v>11</v>
      </c>
      <c r="D20" s="31">
        <f>10.87-7.42</f>
        <v>3.4499999999999993</v>
      </c>
      <c r="E20" s="32">
        <v>1000</v>
      </c>
      <c r="F20" s="31"/>
      <c r="G20" s="32"/>
      <c r="H20" s="31">
        <f t="shared" si="0"/>
        <v>57.059999999999988</v>
      </c>
      <c r="I20" s="31">
        <v>15.6</v>
      </c>
      <c r="J20" s="31">
        <v>7.42</v>
      </c>
      <c r="K20" s="31">
        <f t="shared" si="1"/>
        <v>96.46</v>
      </c>
      <c r="L20" s="31">
        <f t="shared" si="2"/>
        <v>112.05999999999999</v>
      </c>
      <c r="M20" s="31">
        <f t="shared" si="3"/>
        <v>169.11999999999998</v>
      </c>
      <c r="N20" s="14" t="s">
        <v>120</v>
      </c>
    </row>
    <row r="21" spans="1:14" ht="15.75" thickBot="1">
      <c r="A21" s="10" t="s">
        <v>185</v>
      </c>
      <c r="B21" s="31">
        <v>0.38</v>
      </c>
      <c r="C21" s="31"/>
      <c r="D21" s="31">
        <v>4</v>
      </c>
      <c r="E21" s="32">
        <v>1000</v>
      </c>
      <c r="F21" s="31"/>
      <c r="G21" s="32"/>
      <c r="H21" s="31">
        <f t="shared" si="0"/>
        <v>53.14</v>
      </c>
      <c r="I21" s="31">
        <v>15.6</v>
      </c>
      <c r="J21" s="31">
        <v>7.42</v>
      </c>
      <c r="K21" s="31">
        <f t="shared" si="1"/>
        <v>96.46</v>
      </c>
      <c r="L21" s="31">
        <f t="shared" si="2"/>
        <v>112.05999999999999</v>
      </c>
      <c r="M21" s="31">
        <f t="shared" si="3"/>
        <v>165.2</v>
      </c>
      <c r="N21" s="14" t="s">
        <v>113</v>
      </c>
    </row>
    <row r="22" spans="1:14" ht="25.5" thickBot="1">
      <c r="A22" s="10" t="s">
        <v>26</v>
      </c>
      <c r="B22" s="31"/>
      <c r="C22" s="31"/>
      <c r="D22" s="31">
        <f>9.1-7.42</f>
        <v>1.6799999999999997</v>
      </c>
      <c r="E22" s="32">
        <v>1000</v>
      </c>
      <c r="F22" s="31"/>
      <c r="G22" s="32"/>
      <c r="H22" s="31">
        <f t="shared" si="0"/>
        <v>21.839999999999996</v>
      </c>
      <c r="I22" s="31">
        <v>15.6</v>
      </c>
      <c r="J22" s="31">
        <v>7.42</v>
      </c>
      <c r="K22" s="31">
        <f t="shared" si="1"/>
        <v>96.46</v>
      </c>
      <c r="L22" s="31">
        <f t="shared" si="2"/>
        <v>112.05999999999999</v>
      </c>
      <c r="M22" s="31">
        <f t="shared" si="3"/>
        <v>133.89999999999998</v>
      </c>
      <c r="N22" s="14" t="s">
        <v>83</v>
      </c>
    </row>
    <row r="23" spans="1:14" ht="15.75" thickBot="1">
      <c r="A23" s="10" t="s">
        <v>56</v>
      </c>
      <c r="B23" s="31">
        <f>24.7-5.2</f>
        <v>19.5</v>
      </c>
      <c r="C23" s="31" t="s">
        <v>11</v>
      </c>
      <c r="D23" s="31">
        <f>10.5-7.42</f>
        <v>3.08</v>
      </c>
      <c r="E23" s="32">
        <v>1000</v>
      </c>
      <c r="F23" s="31"/>
      <c r="G23" s="32"/>
      <c r="H23" s="31">
        <f t="shared" si="0"/>
        <v>98.539999999999992</v>
      </c>
      <c r="I23" s="31">
        <v>15.6</v>
      </c>
      <c r="J23" s="31">
        <v>7.42</v>
      </c>
      <c r="K23" s="31">
        <f t="shared" si="1"/>
        <v>96.46</v>
      </c>
      <c r="L23" s="31">
        <f t="shared" si="2"/>
        <v>112.05999999999999</v>
      </c>
      <c r="M23" s="31">
        <f t="shared" si="3"/>
        <v>210.59999999999997</v>
      </c>
      <c r="N23" s="14" t="s">
        <v>57</v>
      </c>
    </row>
    <row r="24" spans="1:14" ht="18" thickBot="1">
      <c r="A24" s="10" t="s">
        <v>145</v>
      </c>
      <c r="B24" s="31">
        <v>1</v>
      </c>
      <c r="C24" s="31"/>
      <c r="D24" s="31">
        <f>10.55-6.23</f>
        <v>4.32</v>
      </c>
      <c r="E24" s="32">
        <v>1000</v>
      </c>
      <c r="F24" s="31"/>
      <c r="G24" s="32"/>
      <c r="H24" s="31">
        <f t="shared" si="0"/>
        <v>59.160000000000004</v>
      </c>
      <c r="I24" s="31">
        <v>15.6</v>
      </c>
      <c r="J24" s="31">
        <v>7.42</v>
      </c>
      <c r="K24" s="31">
        <f t="shared" si="1"/>
        <v>96.46</v>
      </c>
      <c r="L24" s="31">
        <f t="shared" si="2"/>
        <v>112.05999999999999</v>
      </c>
      <c r="M24" s="31">
        <f t="shared" si="3"/>
        <v>171.22</v>
      </c>
      <c r="N24" s="14" t="s">
        <v>51</v>
      </c>
    </row>
    <row r="25" spans="1:14" ht="15.75" thickBot="1">
      <c r="A25" s="10" t="s">
        <v>186</v>
      </c>
      <c r="B25" s="31"/>
      <c r="C25" s="31" t="s">
        <v>11</v>
      </c>
      <c r="D25" s="31">
        <v>4.05</v>
      </c>
      <c r="E25" s="32">
        <v>1000</v>
      </c>
      <c r="F25" s="31"/>
      <c r="G25" s="32"/>
      <c r="H25" s="31">
        <f t="shared" si="0"/>
        <v>52.65</v>
      </c>
      <c r="I25" s="31">
        <v>15.6</v>
      </c>
      <c r="J25" s="31">
        <v>7.42</v>
      </c>
      <c r="K25" s="31">
        <f t="shared" si="1"/>
        <v>96.46</v>
      </c>
      <c r="L25" s="31">
        <f t="shared" si="2"/>
        <v>112.05999999999999</v>
      </c>
      <c r="M25" s="31">
        <f t="shared" si="3"/>
        <v>164.70999999999998</v>
      </c>
      <c r="N25" s="14" t="s">
        <v>97</v>
      </c>
    </row>
    <row r="26" spans="1:14" ht="25.5" thickBot="1">
      <c r="A26" s="10" t="s">
        <v>187</v>
      </c>
      <c r="B26" s="31"/>
      <c r="C26" s="31" t="s">
        <v>11</v>
      </c>
      <c r="D26" s="31">
        <v>7.12</v>
      </c>
      <c r="E26" s="32">
        <v>1000</v>
      </c>
      <c r="F26" s="31"/>
      <c r="G26" s="32"/>
      <c r="H26" s="31">
        <f t="shared" si="0"/>
        <v>92.56</v>
      </c>
      <c r="I26" s="31">
        <v>15.6</v>
      </c>
      <c r="J26" s="31">
        <v>7.42</v>
      </c>
      <c r="K26" s="31">
        <f t="shared" si="1"/>
        <v>96.46</v>
      </c>
      <c r="L26" s="31">
        <f t="shared" si="2"/>
        <v>112.05999999999999</v>
      </c>
      <c r="M26" s="31">
        <f t="shared" si="3"/>
        <v>204.62</v>
      </c>
      <c r="N26" s="14" t="s">
        <v>103</v>
      </c>
    </row>
    <row r="27" spans="1:14" ht="25.5" thickBot="1">
      <c r="A27" s="10" t="s">
        <v>188</v>
      </c>
      <c r="B27" s="31">
        <f>16-5.2</f>
        <v>10.8</v>
      </c>
      <c r="C27" s="31"/>
      <c r="D27" s="31">
        <f>11.5-7.42</f>
        <v>4.08</v>
      </c>
      <c r="E27" s="32">
        <v>1000</v>
      </c>
      <c r="F27" s="31"/>
      <c r="G27" s="32"/>
      <c r="H27" s="31">
        <f t="shared" si="0"/>
        <v>85.44</v>
      </c>
      <c r="I27" s="31">
        <v>15.6</v>
      </c>
      <c r="J27" s="31">
        <v>7.42</v>
      </c>
      <c r="K27" s="31">
        <f t="shared" si="1"/>
        <v>96.46</v>
      </c>
      <c r="L27" s="31">
        <f t="shared" si="2"/>
        <v>112.05999999999999</v>
      </c>
      <c r="M27" s="31">
        <f t="shared" si="3"/>
        <v>197.5</v>
      </c>
      <c r="N27" s="14" t="s">
        <v>81</v>
      </c>
    </row>
    <row r="28" spans="1:14" ht="15.75" thickBot="1">
      <c r="A28" s="10" t="s">
        <v>189</v>
      </c>
      <c r="B28" s="31"/>
      <c r="C28" s="31"/>
      <c r="D28" s="31">
        <f>67.5-15.6-(7.42*9)</f>
        <v>-14.880000000000003</v>
      </c>
      <c r="E28" s="32">
        <v>9000</v>
      </c>
      <c r="F28" s="31">
        <v>0.08</v>
      </c>
      <c r="G28" s="32">
        <v>9001</v>
      </c>
      <c r="H28" s="31">
        <f>(D28)+(F28*4)</f>
        <v>-14.560000000000002</v>
      </c>
      <c r="I28" s="31">
        <v>15.6</v>
      </c>
      <c r="J28" s="31">
        <v>7.42</v>
      </c>
      <c r="K28" s="31">
        <f t="shared" si="1"/>
        <v>96.46</v>
      </c>
      <c r="L28" s="31">
        <f t="shared" si="2"/>
        <v>112.05999999999999</v>
      </c>
      <c r="M28" s="31">
        <f t="shared" si="3"/>
        <v>97.499999999999986</v>
      </c>
      <c r="N28" s="14" t="s">
        <v>95</v>
      </c>
    </row>
    <row r="29" spans="1:14" ht="24" customHeight="1" thickBot="1">
      <c r="A29" s="10" t="s">
        <v>22</v>
      </c>
      <c r="B29" s="31"/>
      <c r="C29" s="31" t="s">
        <v>11</v>
      </c>
      <c r="D29" s="31">
        <f>26.35-7.42-5.2</f>
        <v>13.73</v>
      </c>
      <c r="E29" s="32">
        <v>1000</v>
      </c>
      <c r="F29" s="31">
        <f>12.9-7.42</f>
        <v>5.48</v>
      </c>
      <c r="G29" s="32">
        <v>1001</v>
      </c>
      <c r="H29" s="31">
        <f>(D29)+(F29*12)</f>
        <v>79.490000000000009</v>
      </c>
      <c r="I29" s="31">
        <v>15.6</v>
      </c>
      <c r="J29" s="31">
        <v>7.42</v>
      </c>
      <c r="K29" s="31">
        <f t="shared" si="1"/>
        <v>96.46</v>
      </c>
      <c r="L29" s="31">
        <f t="shared" si="2"/>
        <v>112.05999999999999</v>
      </c>
      <c r="M29" s="31">
        <f t="shared" si="3"/>
        <v>191.55</v>
      </c>
      <c r="N29" s="14" t="s">
        <v>78</v>
      </c>
    </row>
    <row r="30" spans="1:14" ht="15.75" thickBot="1">
      <c r="A30" s="10" t="s">
        <v>212</v>
      </c>
      <c r="B30" s="31"/>
      <c r="C30" s="31">
        <f>36-15.6</f>
        <v>20.399999999999999</v>
      </c>
      <c r="D30" s="31">
        <f>7.15-7.42</f>
        <v>-0.26999999999999957</v>
      </c>
      <c r="E30" s="32">
        <v>1000</v>
      </c>
      <c r="F30" s="31"/>
      <c r="G30" s="32"/>
      <c r="H30" s="31">
        <f>(C30)+(D30*13)</f>
        <v>16.890000000000004</v>
      </c>
      <c r="I30" s="31">
        <v>15.6</v>
      </c>
      <c r="J30" s="31">
        <v>7.42</v>
      </c>
      <c r="K30" s="31">
        <f t="shared" si="1"/>
        <v>96.46</v>
      </c>
      <c r="L30" s="31">
        <f t="shared" si="2"/>
        <v>112.05999999999999</v>
      </c>
      <c r="M30" s="31">
        <f t="shared" si="3"/>
        <v>128.94999999999999</v>
      </c>
      <c r="N30" s="14" t="s">
        <v>55</v>
      </c>
    </row>
    <row r="31" spans="1:14" ht="15.75" thickBot="1">
      <c r="A31" s="10" t="s">
        <v>15</v>
      </c>
      <c r="B31" s="31"/>
      <c r="C31" s="31"/>
      <c r="D31" s="31">
        <f>7.71*3</f>
        <v>23.13</v>
      </c>
      <c r="E31" s="32">
        <v>3000</v>
      </c>
      <c r="F31" s="31">
        <v>6.92</v>
      </c>
      <c r="G31" s="32">
        <v>3001</v>
      </c>
      <c r="H31" s="31">
        <f>D31+(F31*10)</f>
        <v>92.33</v>
      </c>
      <c r="I31" s="31">
        <v>15.6</v>
      </c>
      <c r="J31" s="31">
        <v>7.42</v>
      </c>
      <c r="K31" s="31">
        <f t="shared" si="1"/>
        <v>96.46</v>
      </c>
      <c r="L31" s="31">
        <f t="shared" si="2"/>
        <v>112.05999999999999</v>
      </c>
      <c r="M31" s="31">
        <f t="shared" si="3"/>
        <v>204.39</v>
      </c>
      <c r="N31" s="14" t="s">
        <v>123</v>
      </c>
    </row>
    <row r="32" spans="1:14" ht="15.75" customHeight="1" thickBot="1">
      <c r="A32" s="10" t="s">
        <v>29</v>
      </c>
      <c r="B32" s="31">
        <v>13.34</v>
      </c>
      <c r="C32" s="31" t="s">
        <v>11</v>
      </c>
      <c r="D32" s="31">
        <v>7</v>
      </c>
      <c r="E32" s="32">
        <v>1000</v>
      </c>
      <c r="F32" s="31"/>
      <c r="G32" s="32"/>
      <c r="H32" s="31">
        <f t="shared" si="0"/>
        <v>131.01999999999998</v>
      </c>
      <c r="I32" s="31">
        <v>15.6</v>
      </c>
      <c r="J32" s="31">
        <v>7.42</v>
      </c>
      <c r="K32" s="31">
        <f t="shared" si="1"/>
        <v>96.46</v>
      </c>
      <c r="L32" s="31" t="s">
        <v>41</v>
      </c>
      <c r="M32" s="31">
        <f>H32</f>
        <v>131.01999999999998</v>
      </c>
      <c r="N32" s="14" t="s">
        <v>59</v>
      </c>
    </row>
    <row r="33" spans="1:14" ht="15.75" thickBot="1">
      <c r="A33" s="10" t="s">
        <v>44</v>
      </c>
      <c r="B33" s="31"/>
      <c r="C33" s="31">
        <f>23.73-15.6</f>
        <v>8.1300000000000008</v>
      </c>
      <c r="D33" s="31">
        <v>-0.18</v>
      </c>
      <c r="E33" s="32">
        <v>1000</v>
      </c>
      <c r="F33" s="31"/>
      <c r="G33" s="32"/>
      <c r="H33" s="31">
        <f>C33+(D33*13)</f>
        <v>5.7900000000000009</v>
      </c>
      <c r="I33" s="31">
        <v>15.6</v>
      </c>
      <c r="J33" s="31">
        <v>7.42</v>
      </c>
      <c r="K33" s="31">
        <f t="shared" si="1"/>
        <v>96.46</v>
      </c>
      <c r="L33" s="31">
        <f t="shared" si="2"/>
        <v>112.05999999999999</v>
      </c>
      <c r="M33" s="31">
        <f t="shared" si="3"/>
        <v>117.85</v>
      </c>
      <c r="N33" s="14" t="s">
        <v>74</v>
      </c>
    </row>
    <row r="34" spans="1:14" ht="25.5" thickBot="1">
      <c r="A34" s="10" t="s">
        <v>146</v>
      </c>
      <c r="B34" s="31"/>
      <c r="C34" s="31" t="s">
        <v>11</v>
      </c>
      <c r="D34" s="31">
        <v>6</v>
      </c>
      <c r="E34" s="32">
        <v>1000</v>
      </c>
      <c r="F34" s="31"/>
      <c r="G34" s="32"/>
      <c r="H34" s="31">
        <f t="shared" si="0"/>
        <v>78</v>
      </c>
      <c r="I34" s="31">
        <v>15.6</v>
      </c>
      <c r="J34" s="31">
        <v>7.42</v>
      </c>
      <c r="K34" s="31">
        <f t="shared" si="1"/>
        <v>96.46</v>
      </c>
      <c r="L34" s="31">
        <f t="shared" si="2"/>
        <v>112.05999999999999</v>
      </c>
      <c r="M34" s="31">
        <f t="shared" si="3"/>
        <v>190.06</v>
      </c>
      <c r="N34" s="14" t="s">
        <v>28</v>
      </c>
    </row>
    <row r="35" spans="1:14" ht="15.75" thickBot="1">
      <c r="A35" s="10" t="s">
        <v>190</v>
      </c>
      <c r="B35" s="31"/>
      <c r="C35" s="31" t="s">
        <v>11</v>
      </c>
      <c r="D35" s="31">
        <v>1.5</v>
      </c>
      <c r="E35" s="32">
        <v>1000</v>
      </c>
      <c r="F35" s="31"/>
      <c r="G35" s="32"/>
      <c r="H35" s="31">
        <f t="shared" si="0"/>
        <v>19.5</v>
      </c>
      <c r="I35" s="31">
        <v>15.6</v>
      </c>
      <c r="J35" s="31">
        <v>7.42</v>
      </c>
      <c r="K35" s="31">
        <f t="shared" si="1"/>
        <v>96.46</v>
      </c>
      <c r="L35" s="31">
        <f t="shared" si="2"/>
        <v>112.05999999999999</v>
      </c>
      <c r="M35" s="31">
        <f t="shared" si="3"/>
        <v>131.56</v>
      </c>
      <c r="N35" s="14" t="s">
        <v>82</v>
      </c>
    </row>
    <row r="36" spans="1:14" ht="25.5" thickBot="1">
      <c r="A36" s="10" t="s">
        <v>21</v>
      </c>
      <c r="B36" s="31"/>
      <c r="C36" s="31">
        <f>6.8*3</f>
        <v>20.399999999999999</v>
      </c>
      <c r="D36" s="31">
        <v>3.43</v>
      </c>
      <c r="E36" s="32">
        <v>1000</v>
      </c>
      <c r="F36" s="31"/>
      <c r="G36" s="32"/>
      <c r="H36" s="31">
        <f>C36+(D36*13)</f>
        <v>64.990000000000009</v>
      </c>
      <c r="I36" s="31">
        <v>15.6</v>
      </c>
      <c r="J36" s="31">
        <v>7.42</v>
      </c>
      <c r="K36" s="31">
        <f t="shared" si="1"/>
        <v>96.46</v>
      </c>
      <c r="L36" s="31">
        <f t="shared" si="2"/>
        <v>112.05999999999999</v>
      </c>
      <c r="M36" s="31">
        <f t="shared" si="3"/>
        <v>177.05</v>
      </c>
      <c r="N36" s="14" t="s">
        <v>58</v>
      </c>
    </row>
    <row r="37" spans="1:14" ht="15.75" thickBot="1">
      <c r="A37" s="10" t="s">
        <v>191</v>
      </c>
      <c r="B37" s="31"/>
      <c r="C37" s="31"/>
      <c r="D37" s="31">
        <v>4.5</v>
      </c>
      <c r="E37" s="32">
        <v>1000</v>
      </c>
      <c r="F37" s="31"/>
      <c r="G37" s="32"/>
      <c r="H37" s="31">
        <f t="shared" si="0"/>
        <v>58.5</v>
      </c>
      <c r="I37" s="31">
        <v>15.6</v>
      </c>
      <c r="J37" s="31">
        <v>7.42</v>
      </c>
      <c r="K37" s="31">
        <f t="shared" si="1"/>
        <v>96.46</v>
      </c>
      <c r="L37" s="31">
        <f t="shared" si="2"/>
        <v>112.05999999999999</v>
      </c>
      <c r="M37" s="31">
        <f t="shared" si="3"/>
        <v>170.56</v>
      </c>
      <c r="N37" s="14" t="s">
        <v>73</v>
      </c>
    </row>
    <row r="38" spans="1:14" ht="18" thickBot="1">
      <c r="A38" s="10" t="s">
        <v>124</v>
      </c>
      <c r="B38" s="31"/>
      <c r="C38" s="31"/>
      <c r="D38" s="31"/>
      <c r="E38" s="32">
        <v>1000</v>
      </c>
      <c r="F38" s="31"/>
      <c r="G38" s="32"/>
      <c r="H38" s="31">
        <f t="shared" si="0"/>
        <v>0</v>
      </c>
      <c r="I38" s="31">
        <v>15.6</v>
      </c>
      <c r="J38" s="31">
        <v>7.42</v>
      </c>
      <c r="K38" s="31">
        <f t="shared" si="1"/>
        <v>96.46</v>
      </c>
      <c r="L38" s="31">
        <f t="shared" si="2"/>
        <v>112.05999999999999</v>
      </c>
      <c r="M38" s="31">
        <f t="shared" si="3"/>
        <v>112.05999999999999</v>
      </c>
      <c r="N38" s="14" t="s">
        <v>49</v>
      </c>
    </row>
    <row r="39" spans="1:14" ht="25.5" thickBot="1">
      <c r="A39" s="10" t="s">
        <v>23</v>
      </c>
      <c r="B39" s="31">
        <v>5.46</v>
      </c>
      <c r="C39" s="31" t="s">
        <v>11</v>
      </c>
      <c r="D39" s="31">
        <v>7.79</v>
      </c>
      <c r="E39" s="32">
        <v>1000</v>
      </c>
      <c r="F39" s="31"/>
      <c r="G39" s="32"/>
      <c r="H39" s="31">
        <f t="shared" si="0"/>
        <v>117.64999999999999</v>
      </c>
      <c r="I39" s="31">
        <v>15.6</v>
      </c>
      <c r="J39" s="31">
        <v>7.42</v>
      </c>
      <c r="K39" s="31">
        <f t="shared" si="1"/>
        <v>96.46</v>
      </c>
      <c r="L39" s="31">
        <f t="shared" si="2"/>
        <v>112.05999999999999</v>
      </c>
      <c r="M39" s="31">
        <f t="shared" si="3"/>
        <v>229.70999999999998</v>
      </c>
      <c r="N39" s="14" t="s">
        <v>136</v>
      </c>
    </row>
    <row r="40" spans="1:14" ht="15.75" thickBot="1">
      <c r="A40" s="10" t="s">
        <v>50</v>
      </c>
      <c r="B40" s="31">
        <v>1.28</v>
      </c>
      <c r="C40" s="31"/>
      <c r="D40" s="31">
        <v>4.55</v>
      </c>
      <c r="E40" s="32">
        <v>1000</v>
      </c>
      <c r="F40" s="31"/>
      <c r="G40" s="32"/>
      <c r="H40" s="31">
        <f t="shared" si="0"/>
        <v>62.989999999999995</v>
      </c>
      <c r="I40" s="31">
        <v>15.6</v>
      </c>
      <c r="J40" s="31">
        <v>7.42</v>
      </c>
      <c r="K40" s="31">
        <f t="shared" si="1"/>
        <v>96.46</v>
      </c>
      <c r="L40" s="31">
        <f t="shared" si="2"/>
        <v>112.05999999999999</v>
      </c>
      <c r="M40" s="31">
        <f t="shared" si="3"/>
        <v>175.04999999999998</v>
      </c>
      <c r="N40" s="14" t="s">
        <v>114</v>
      </c>
    </row>
    <row r="41" spans="1:14" ht="15.75" thickBot="1">
      <c r="A41" s="10" t="s">
        <v>40</v>
      </c>
      <c r="B41" s="31">
        <f>17-4.84</f>
        <v>12.16</v>
      </c>
      <c r="C41" s="31"/>
      <c r="D41" s="31">
        <f>8.58-6.91</f>
        <v>1.67</v>
      </c>
      <c r="E41" s="32">
        <v>1000</v>
      </c>
      <c r="F41" s="31"/>
      <c r="G41" s="32"/>
      <c r="H41" s="31">
        <f t="shared" si="0"/>
        <v>58.190000000000005</v>
      </c>
      <c r="I41" s="31">
        <v>15.6</v>
      </c>
      <c r="J41" s="31">
        <v>7.42</v>
      </c>
      <c r="K41" s="31">
        <f t="shared" si="1"/>
        <v>96.46</v>
      </c>
      <c r="L41" s="31">
        <f t="shared" si="2"/>
        <v>112.05999999999999</v>
      </c>
      <c r="M41" s="31">
        <f t="shared" si="3"/>
        <v>170.25</v>
      </c>
      <c r="N41" s="14" t="s">
        <v>106</v>
      </c>
    </row>
    <row r="42" spans="1:14" ht="24.75" thickBot="1">
      <c r="A42" s="10" t="s">
        <v>192</v>
      </c>
      <c r="B42" s="31"/>
      <c r="C42" s="31"/>
      <c r="D42" s="31">
        <v>11.89</v>
      </c>
      <c r="E42" s="32">
        <v>4500</v>
      </c>
      <c r="F42" s="31">
        <v>2.5</v>
      </c>
      <c r="G42" s="32">
        <v>4501</v>
      </c>
      <c r="H42" s="31">
        <v>33.14</v>
      </c>
      <c r="I42" s="31">
        <v>15.6</v>
      </c>
      <c r="J42" s="31">
        <v>7.42</v>
      </c>
      <c r="K42" s="31">
        <f t="shared" si="1"/>
        <v>96.46</v>
      </c>
      <c r="L42" s="31">
        <f t="shared" si="2"/>
        <v>112.05999999999999</v>
      </c>
      <c r="M42" s="31">
        <f t="shared" si="3"/>
        <v>145.19999999999999</v>
      </c>
      <c r="N42" s="18" t="s">
        <v>91</v>
      </c>
    </row>
    <row r="43" spans="1:14" ht="15.75" thickBot="1">
      <c r="A43" s="10" t="s">
        <v>33</v>
      </c>
      <c r="B43" s="31"/>
      <c r="C43" s="31"/>
      <c r="D43" s="31">
        <f>11.72-7.42</f>
        <v>4.3000000000000007</v>
      </c>
      <c r="E43" s="32">
        <v>1000</v>
      </c>
      <c r="F43" s="31"/>
      <c r="G43" s="32"/>
      <c r="H43" s="31">
        <f t="shared" si="0"/>
        <v>55.900000000000006</v>
      </c>
      <c r="I43" s="31">
        <v>15.6</v>
      </c>
      <c r="J43" s="31">
        <v>7.42</v>
      </c>
      <c r="K43" s="31">
        <f t="shared" si="1"/>
        <v>96.46</v>
      </c>
      <c r="L43" s="31">
        <f t="shared" si="2"/>
        <v>112.05999999999999</v>
      </c>
      <c r="M43" s="31">
        <f t="shared" si="3"/>
        <v>167.95999999999998</v>
      </c>
      <c r="N43" s="14" t="s">
        <v>110</v>
      </c>
    </row>
    <row r="44" spans="1:14">
      <c r="A44" s="9"/>
      <c r="B44" s="47"/>
      <c r="C44" s="47"/>
      <c r="D44" s="47"/>
      <c r="E44" s="48"/>
      <c r="F44" s="48"/>
      <c r="G44" s="49"/>
      <c r="H44" s="47"/>
      <c r="I44" s="47"/>
      <c r="J44" s="47"/>
      <c r="K44" s="47"/>
      <c r="L44" s="47"/>
      <c r="M44" s="47"/>
      <c r="N44" s="2"/>
    </row>
    <row r="45" spans="1:14">
      <c r="A45" s="27" t="s">
        <v>17</v>
      </c>
      <c r="B45" s="5" t="s">
        <v>206</v>
      </c>
      <c r="N45" s="2"/>
    </row>
    <row r="47" spans="1:14" ht="17.25">
      <c r="B47" s="12" t="s">
        <v>209</v>
      </c>
      <c r="L47" s="5" t="s">
        <v>11</v>
      </c>
      <c r="M47" s="28" t="s">
        <v>11</v>
      </c>
    </row>
    <row r="48" spans="1:14" ht="17.25">
      <c r="B48" s="12"/>
      <c r="M48" s="28"/>
    </row>
  </sheetData>
  <sheetProtection formatCells="0" formatColumns="0" formatRows="0"/>
  <pageMargins left="0.7" right="0.7" top="0.75" bottom="0.75" header="0.3" footer="0.3"/>
  <pageSetup paperSize="17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ALCOSAN Eastern Basin</vt:lpstr>
      <vt:lpstr>ALCOSAN Northern Basin</vt:lpstr>
      <vt:lpstr>ALCOSAN Southern Basin</vt:lpstr>
      <vt:lpstr>'ALCOSAN Eastern Basin'!Print_Area</vt:lpstr>
      <vt:lpstr>'ALCOSAN Northern Basin'!Print_Area</vt:lpstr>
      <vt:lpstr>'ALCOSAN Southern Basin'!Print_Area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jbrown</dc:creator>
  <cp:lastModifiedBy>tschubert</cp:lastModifiedBy>
  <cp:lastPrinted>2018-05-31T18:51:04Z</cp:lastPrinted>
  <dcterms:created xsi:type="dcterms:W3CDTF">2010-10-20T16:43:27Z</dcterms:created>
  <dcterms:modified xsi:type="dcterms:W3CDTF">2018-09-05T16:17:29Z</dcterms:modified>
</cp:coreProperties>
</file>